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lexd\Dropbox (TWS)\Documents\Renewables\RE Economics Report\December 2019 Draft\Appendices\"/>
    </mc:Choice>
  </mc:AlternateContent>
  <xr:revisionPtr revIDLastSave="0" documentId="13_ncr:1_{3C0BBFE5-3D7D-46F7-9DA8-3D02848096A2}" xr6:coauthVersionLast="44" xr6:coauthVersionMax="45" xr10:uidLastSave="{00000000-0000-0000-0000-000000000000}"/>
  <bookViews>
    <workbookView xWindow="-110" yWindow="-110" windowWidth="19420" windowHeight="10420" xr2:uid="{1DF11976-AABF-4A37-B236-EDDA588E8924}"/>
  </bookViews>
  <sheets>
    <sheet name="Overview of workbook" sheetId="7" r:id="rId1"/>
    <sheet name="7.1 Solar projects avoided CO2e" sheetId="4" r:id="rId2"/>
    <sheet name="7.2 SCC discount rates" sheetId="2" r:id="rId3"/>
    <sheet name="7.3 Solar projects SCC calcs" sheetId="8" r:id="rId4"/>
    <sheet name="7.4 Crescent Dunes"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4" l="1"/>
  <c r="F46" i="3"/>
  <c r="F6" i="3"/>
  <c r="K56" i="8"/>
  <c r="J56" i="8"/>
  <c r="I56" i="8"/>
  <c r="H56" i="8"/>
  <c r="G56" i="8"/>
  <c r="F56" i="8"/>
  <c r="E56" i="8"/>
  <c r="D56" i="8"/>
  <c r="K55" i="8"/>
  <c r="J55" i="8"/>
  <c r="I55" i="8"/>
  <c r="H55" i="8"/>
  <c r="G55" i="8"/>
  <c r="F55" i="8"/>
  <c r="E55" i="8"/>
  <c r="D55" i="8"/>
  <c r="K54" i="8"/>
  <c r="J54" i="8"/>
  <c r="I54" i="8"/>
  <c r="H54" i="8"/>
  <c r="G54" i="8"/>
  <c r="F54" i="8"/>
  <c r="E54" i="8"/>
  <c r="D54" i="8"/>
  <c r="K53" i="8"/>
  <c r="J53" i="8"/>
  <c r="I53" i="8"/>
  <c r="H53" i="8"/>
  <c r="G53" i="8"/>
  <c r="F53" i="8"/>
  <c r="E53" i="8"/>
  <c r="D53" i="8"/>
  <c r="K52" i="8"/>
  <c r="J52" i="8"/>
  <c r="I52" i="8"/>
  <c r="H52" i="8"/>
  <c r="G52" i="8"/>
  <c r="F52" i="8"/>
  <c r="E52" i="8"/>
  <c r="D52" i="8"/>
  <c r="H6" i="2"/>
  <c r="H7" i="2"/>
  <c r="H8" i="2"/>
  <c r="H9" i="2"/>
  <c r="H10" i="2"/>
  <c r="H11" i="2"/>
  <c r="H12" i="2"/>
  <c r="H5" i="2"/>
  <c r="G6" i="2"/>
  <c r="G7" i="2"/>
  <c r="G8" i="2"/>
  <c r="G9" i="2"/>
  <c r="G10" i="2"/>
  <c r="G11" i="2"/>
  <c r="G12" i="2"/>
  <c r="G5" i="2"/>
  <c r="F6" i="2"/>
  <c r="F7" i="2"/>
  <c r="F8" i="2"/>
  <c r="F9" i="2"/>
  <c r="F10" i="2"/>
  <c r="F11" i="2"/>
  <c r="F12" i="2"/>
  <c r="F5" i="2"/>
  <c r="E6" i="2"/>
  <c r="E7" i="2"/>
  <c r="E8" i="2"/>
  <c r="E9" i="2"/>
  <c r="E10" i="2"/>
  <c r="E11" i="2"/>
  <c r="E12" i="2"/>
  <c r="E5" i="2"/>
  <c r="D6" i="2"/>
  <c r="D7" i="2"/>
  <c r="D8" i="2"/>
  <c r="D9" i="2"/>
  <c r="D10" i="2"/>
  <c r="D11" i="2"/>
  <c r="D12" i="2"/>
  <c r="D5" i="2"/>
  <c r="K47" i="8"/>
  <c r="J47" i="8"/>
  <c r="K45" i="8"/>
  <c r="J45" i="8"/>
  <c r="K44" i="8"/>
  <c r="J44" i="8"/>
  <c r="I44" i="8"/>
  <c r="K43" i="8"/>
  <c r="J43" i="8"/>
  <c r="I43" i="8"/>
  <c r="K42" i="8"/>
  <c r="J42" i="8"/>
  <c r="I42" i="8"/>
  <c r="K40" i="8"/>
  <c r="J40" i="8"/>
  <c r="I40" i="8"/>
  <c r="H40" i="8"/>
  <c r="G40" i="8"/>
  <c r="F40" i="8"/>
  <c r="K39" i="8"/>
  <c r="J39" i="8"/>
  <c r="I39" i="8"/>
  <c r="H39" i="8"/>
  <c r="G39" i="8"/>
  <c r="F39" i="8"/>
  <c r="E39" i="8"/>
  <c r="K38" i="8"/>
  <c r="J38" i="8"/>
  <c r="I38" i="8"/>
  <c r="H38" i="8"/>
  <c r="G38" i="8"/>
  <c r="F38" i="8"/>
  <c r="K37" i="8"/>
  <c r="J37" i="8"/>
  <c r="I37" i="8"/>
  <c r="H37" i="8"/>
  <c r="G37" i="8"/>
  <c r="F37" i="8"/>
  <c r="E37" i="8"/>
  <c r="L41" i="8"/>
  <c r="K30" i="8"/>
  <c r="K46" i="8" s="1"/>
  <c r="I29" i="8"/>
  <c r="I45" i="8" s="1"/>
  <c r="H27" i="8"/>
  <c r="H43" i="8" s="1"/>
  <c r="H26" i="8"/>
  <c r="H42" i="8" s="1"/>
  <c r="E23" i="8"/>
  <c r="E22" i="8"/>
  <c r="E38" i="8" s="1"/>
  <c r="D21" i="8"/>
  <c r="D37" i="8" s="1"/>
  <c r="E14" i="4"/>
  <c r="F14" i="4" s="1"/>
  <c r="E13" i="4"/>
  <c r="F13" i="4" s="1"/>
  <c r="E12" i="4"/>
  <c r="F12" i="4" s="1"/>
  <c r="E11" i="4"/>
  <c r="F11" i="4" s="1"/>
  <c r="E10" i="4"/>
  <c r="F10" i="4" s="1"/>
  <c r="E9" i="4"/>
  <c r="F9" i="4" s="1"/>
  <c r="F8" i="4"/>
  <c r="E7" i="4"/>
  <c r="F7" i="4" s="1"/>
  <c r="E6" i="4"/>
  <c r="F6" i="4" s="1"/>
  <c r="E5" i="4"/>
  <c r="F5" i="4" s="1"/>
  <c r="E4" i="4"/>
  <c r="C46" i="3"/>
  <c r="F34" i="3"/>
  <c r="H34" i="3" s="1"/>
  <c r="C34" i="3"/>
  <c r="F22" i="3"/>
  <c r="H22" i="3" s="1"/>
  <c r="C22" i="3"/>
  <c r="F10" i="3"/>
  <c r="H10" i="3" s="1"/>
  <c r="C10" i="3"/>
  <c r="C6" i="3"/>
  <c r="E15" i="4" l="1"/>
  <c r="D48" i="8"/>
  <c r="L37" i="8"/>
  <c r="L42" i="8"/>
  <c r="L43" i="8"/>
  <c r="L40" i="8"/>
  <c r="I48" i="8"/>
  <c r="L47" i="8"/>
  <c r="L46" i="8"/>
  <c r="H48" i="8"/>
  <c r="L38" i="8"/>
  <c r="L39" i="8"/>
  <c r="E48" i="8"/>
  <c r="L44" i="8"/>
  <c r="L45" i="8"/>
  <c r="F48" i="8"/>
  <c r="J48" i="8"/>
  <c r="G48" i="8"/>
  <c r="K48" i="8"/>
  <c r="F4" i="4"/>
  <c r="F15" i="4" s="1"/>
  <c r="H46" i="3"/>
  <c r="L48" i="8" l="1"/>
  <c r="U51" i="2" l="1"/>
  <c r="T51" i="2"/>
  <c r="S51" i="2"/>
  <c r="R51" i="2"/>
  <c r="Q51" i="2"/>
  <c r="U50" i="2"/>
  <c r="T50" i="2"/>
  <c r="S50" i="2"/>
  <c r="R50" i="2"/>
  <c r="Q50" i="2"/>
  <c r="U49" i="2"/>
  <c r="T49" i="2"/>
  <c r="S49" i="2"/>
  <c r="R49" i="2"/>
  <c r="Q49" i="2"/>
  <c r="U48" i="2"/>
  <c r="T48" i="2"/>
  <c r="S48" i="2"/>
  <c r="R48" i="2"/>
  <c r="Q48" i="2"/>
  <c r="U47" i="2"/>
  <c r="T47" i="2"/>
  <c r="S47" i="2"/>
  <c r="R47" i="2"/>
  <c r="Q47" i="2"/>
  <c r="U46" i="2"/>
  <c r="T46" i="2"/>
  <c r="S46" i="2"/>
  <c r="R46" i="2"/>
  <c r="Q46" i="2"/>
  <c r="U45" i="2"/>
  <c r="T45" i="2"/>
  <c r="S45" i="2"/>
  <c r="R45" i="2"/>
  <c r="Q45" i="2"/>
  <c r="U44" i="2"/>
  <c r="T44" i="2"/>
  <c r="S44" i="2"/>
  <c r="R44" i="2"/>
  <c r="Q44" i="2"/>
  <c r="U43" i="2"/>
  <c r="T43" i="2"/>
  <c r="S43" i="2"/>
  <c r="R43" i="2"/>
  <c r="Q43" i="2"/>
  <c r="U42" i="2"/>
  <c r="T42" i="2"/>
  <c r="S42" i="2"/>
  <c r="R42" i="2"/>
  <c r="Q42" i="2"/>
  <c r="U41" i="2"/>
  <c r="T41" i="2"/>
  <c r="S41" i="2"/>
  <c r="R41" i="2"/>
  <c r="Q41" i="2"/>
  <c r="U40" i="2"/>
  <c r="T40" i="2"/>
  <c r="S40" i="2"/>
  <c r="R40" i="2"/>
  <c r="Q40" i="2"/>
  <c r="U39" i="2"/>
  <c r="T39" i="2"/>
  <c r="S39" i="2"/>
  <c r="R39" i="2"/>
  <c r="Q39" i="2"/>
  <c r="U38" i="2"/>
  <c r="T38" i="2"/>
  <c r="S38" i="2"/>
  <c r="R38" i="2"/>
  <c r="Q38" i="2"/>
  <c r="U37" i="2"/>
  <c r="T37" i="2"/>
  <c r="S37" i="2"/>
  <c r="R37" i="2"/>
  <c r="Q37" i="2"/>
  <c r="U36" i="2"/>
  <c r="T36" i="2"/>
  <c r="S36" i="2"/>
  <c r="R36" i="2"/>
  <c r="Q36" i="2"/>
  <c r="U35" i="2"/>
  <c r="M12" i="2" s="1"/>
  <c r="T35" i="2"/>
  <c r="L12" i="2" s="1"/>
  <c r="S35" i="2"/>
  <c r="K12" i="2" s="1"/>
  <c r="R35" i="2"/>
  <c r="J12" i="2" s="1"/>
  <c r="Q35" i="2"/>
  <c r="I12" i="2" s="1"/>
  <c r="U33" i="2"/>
  <c r="M10" i="2" s="1"/>
  <c r="T33" i="2"/>
  <c r="L10" i="2" s="1"/>
  <c r="S33" i="2"/>
  <c r="K10" i="2" s="1"/>
  <c r="R33" i="2"/>
  <c r="J10" i="2" s="1"/>
  <c r="Q33" i="2"/>
  <c r="I10" i="2" s="1"/>
  <c r="U32" i="2"/>
  <c r="M9" i="2" s="1"/>
  <c r="T32" i="2"/>
  <c r="L9" i="2" s="1"/>
  <c r="S32" i="2"/>
  <c r="K9" i="2" s="1"/>
  <c r="R32" i="2"/>
  <c r="J9" i="2" s="1"/>
  <c r="Q32" i="2"/>
  <c r="I9" i="2" s="1"/>
  <c r="U31" i="2"/>
  <c r="M8" i="2" s="1"/>
  <c r="T31" i="2"/>
  <c r="L8" i="2" s="1"/>
  <c r="S31" i="2"/>
  <c r="K8" i="2" s="1"/>
  <c r="R31" i="2"/>
  <c r="J8" i="2" s="1"/>
  <c r="Q31" i="2"/>
  <c r="I8" i="2" s="1"/>
  <c r="U30" i="2"/>
  <c r="M7" i="2" s="1"/>
  <c r="T30" i="2"/>
  <c r="L7" i="2" s="1"/>
  <c r="S30" i="2"/>
  <c r="K7" i="2" s="1"/>
  <c r="R30" i="2"/>
  <c r="J7" i="2" s="1"/>
  <c r="Q30" i="2"/>
  <c r="I7" i="2" s="1"/>
  <c r="U29" i="2"/>
  <c r="M6" i="2" s="1"/>
  <c r="T29" i="2"/>
  <c r="L6" i="2" s="1"/>
  <c r="S29" i="2"/>
  <c r="K6" i="2" s="1"/>
  <c r="R29" i="2"/>
  <c r="J6" i="2" s="1"/>
  <c r="Q29" i="2"/>
  <c r="I6" i="2" s="1"/>
  <c r="U28" i="2"/>
  <c r="M5" i="2" s="1"/>
  <c r="T28" i="2"/>
  <c r="L5" i="2" s="1"/>
  <c r="S28" i="2"/>
  <c r="K5" i="2" s="1"/>
  <c r="R28" i="2"/>
  <c r="J5" i="2" s="1"/>
  <c r="Q28" i="2"/>
  <c r="I5" i="2" s="1"/>
  <c r="U27" i="2"/>
  <c r="T27" i="2"/>
  <c r="S27" i="2"/>
  <c r="R27" i="2"/>
  <c r="Q27" i="2"/>
  <c r="U26" i="2"/>
  <c r="T26" i="2"/>
  <c r="S26" i="2"/>
  <c r="R26" i="2"/>
  <c r="Q26" i="2"/>
  <c r="U25" i="2"/>
  <c r="T25" i="2"/>
  <c r="S25" i="2"/>
  <c r="R25" i="2"/>
  <c r="Q25" i="2"/>
  <c r="U24" i="2"/>
  <c r="T24" i="2"/>
  <c r="S24" i="2"/>
  <c r="R24" i="2"/>
  <c r="Q24" i="2"/>
  <c r="U23" i="2"/>
  <c r="T23" i="2"/>
  <c r="S23" i="2"/>
  <c r="R23" i="2"/>
  <c r="Q23" i="2"/>
  <c r="U22" i="2"/>
  <c r="T22" i="2"/>
  <c r="S22" i="2"/>
  <c r="R22" i="2"/>
  <c r="Q22" i="2"/>
  <c r="U21" i="2"/>
  <c r="T21" i="2"/>
  <c r="S21" i="2"/>
  <c r="R21" i="2"/>
  <c r="Q21" i="2"/>
  <c r="D91" i="8" l="1"/>
  <c r="D61" i="8"/>
  <c r="D121" i="8"/>
  <c r="D106" i="8"/>
  <c r="D76" i="8"/>
  <c r="E98" i="8" l="1"/>
  <c r="E101" i="8"/>
  <c r="E97" i="8"/>
  <c r="E93" i="8"/>
  <c r="E94" i="8"/>
  <c r="E100" i="8"/>
  <c r="E92" i="8"/>
  <c r="E95" i="8"/>
  <c r="E99" i="8"/>
  <c r="E91" i="8"/>
  <c r="E96" i="8"/>
  <c r="I130" i="8"/>
  <c r="I121" i="8"/>
  <c r="I123" i="8"/>
  <c r="I125" i="8"/>
  <c r="I122" i="8"/>
  <c r="I124" i="8"/>
  <c r="I126" i="8"/>
  <c r="I128" i="8"/>
  <c r="I131" i="8"/>
  <c r="I129" i="8"/>
  <c r="I127" i="8"/>
  <c r="F116" i="8"/>
  <c r="F114" i="8"/>
  <c r="F110" i="8"/>
  <c r="F108" i="8"/>
  <c r="F107" i="8"/>
  <c r="F111" i="8"/>
  <c r="F109" i="8"/>
  <c r="F113" i="8"/>
  <c r="F115" i="8"/>
  <c r="F112" i="8"/>
  <c r="F106" i="8"/>
  <c r="F130" i="8"/>
  <c r="F129" i="8"/>
  <c r="F125" i="8"/>
  <c r="F127" i="8"/>
  <c r="F124" i="8"/>
  <c r="F121" i="8"/>
  <c r="F123" i="8"/>
  <c r="F126" i="8"/>
  <c r="F131" i="8"/>
  <c r="F128" i="8"/>
  <c r="F122" i="8"/>
  <c r="I101" i="8"/>
  <c r="I99" i="8"/>
  <c r="I92" i="8"/>
  <c r="I97" i="8"/>
  <c r="I100" i="8"/>
  <c r="I91" i="8"/>
  <c r="I93" i="8"/>
  <c r="I95" i="8"/>
  <c r="I96" i="8"/>
  <c r="I98" i="8"/>
  <c r="I94" i="8"/>
  <c r="F86" i="8"/>
  <c r="F76" i="8"/>
  <c r="F82" i="8"/>
  <c r="F79" i="8"/>
  <c r="F80" i="8"/>
  <c r="F84" i="8"/>
  <c r="F85" i="8"/>
  <c r="F77" i="8"/>
  <c r="F81" i="8"/>
  <c r="F78" i="8"/>
  <c r="F83" i="8"/>
  <c r="I86" i="8"/>
  <c r="I85" i="8"/>
  <c r="I82" i="8"/>
  <c r="I79" i="8"/>
  <c r="I80" i="8"/>
  <c r="I84" i="8"/>
  <c r="I76" i="8"/>
  <c r="I77" i="8"/>
  <c r="I83" i="8"/>
  <c r="I81" i="8"/>
  <c r="I78" i="8"/>
  <c r="H85" i="8"/>
  <c r="H82" i="8"/>
  <c r="H80" i="8"/>
  <c r="H76" i="8"/>
  <c r="H78" i="8"/>
  <c r="H86" i="8"/>
  <c r="H79" i="8"/>
  <c r="H77" i="8"/>
  <c r="H81" i="8"/>
  <c r="H84" i="8"/>
  <c r="H83" i="8"/>
  <c r="H116" i="8"/>
  <c r="H115" i="8"/>
  <c r="H112" i="8"/>
  <c r="H106" i="8"/>
  <c r="H108" i="8"/>
  <c r="H110" i="8"/>
  <c r="H107" i="8"/>
  <c r="H109" i="8"/>
  <c r="H111" i="8"/>
  <c r="H113" i="8"/>
  <c r="H114" i="8"/>
  <c r="H100" i="8"/>
  <c r="H95" i="8"/>
  <c r="H94" i="8"/>
  <c r="H96" i="8"/>
  <c r="H101" i="8"/>
  <c r="H92" i="8"/>
  <c r="H99" i="8"/>
  <c r="H98" i="8"/>
  <c r="H91" i="8"/>
  <c r="H93" i="8"/>
  <c r="H97" i="8"/>
  <c r="E83" i="8"/>
  <c r="E86" i="8"/>
  <c r="E77" i="8"/>
  <c r="E81" i="8"/>
  <c r="E76" i="8"/>
  <c r="E78" i="8"/>
  <c r="E80" i="8"/>
  <c r="E85" i="8"/>
  <c r="E79" i="8"/>
  <c r="E84" i="8"/>
  <c r="E82" i="8"/>
  <c r="E71" i="8"/>
  <c r="E66" i="8"/>
  <c r="E68" i="8"/>
  <c r="E65" i="8"/>
  <c r="E67" i="8"/>
  <c r="E62" i="8"/>
  <c r="E64" i="8"/>
  <c r="E69" i="8"/>
  <c r="E70" i="8"/>
  <c r="E63" i="8"/>
  <c r="E61" i="8"/>
  <c r="K80" i="8"/>
  <c r="K79" i="8"/>
  <c r="K76" i="8"/>
  <c r="K77" i="8"/>
  <c r="K78" i="8"/>
  <c r="K81" i="8"/>
  <c r="K86" i="8"/>
  <c r="K82" i="8"/>
  <c r="K83" i="8"/>
  <c r="K85" i="8"/>
  <c r="K84" i="8"/>
  <c r="G71" i="8"/>
  <c r="G61" i="8"/>
  <c r="G63" i="8"/>
  <c r="G65" i="8"/>
  <c r="G68" i="8"/>
  <c r="G62" i="8"/>
  <c r="G64" i="8"/>
  <c r="G70" i="8"/>
  <c r="G66" i="8"/>
  <c r="G67" i="8"/>
  <c r="G69" i="8"/>
  <c r="K95" i="8"/>
  <c r="K99" i="8"/>
  <c r="K100" i="8"/>
  <c r="K97" i="8"/>
  <c r="K92" i="8"/>
  <c r="K91" i="8"/>
  <c r="K101" i="8"/>
  <c r="K98" i="8"/>
  <c r="K94" i="8"/>
  <c r="K93" i="8"/>
  <c r="K96" i="8"/>
  <c r="H124" i="8"/>
  <c r="H131" i="8"/>
  <c r="H130" i="8"/>
  <c r="H128" i="8"/>
  <c r="H121" i="8"/>
  <c r="H122" i="8"/>
  <c r="H123" i="8"/>
  <c r="H126" i="8"/>
  <c r="H127" i="8"/>
  <c r="H129" i="8"/>
  <c r="H125" i="8"/>
  <c r="G85" i="8"/>
  <c r="G81" i="8"/>
  <c r="G79" i="8"/>
  <c r="G76" i="8"/>
  <c r="G77" i="8"/>
  <c r="G78" i="8"/>
  <c r="G83" i="8"/>
  <c r="G82" i="8"/>
  <c r="G84" i="8"/>
  <c r="G80" i="8"/>
  <c r="G86" i="8"/>
  <c r="E115" i="8"/>
  <c r="E106" i="8"/>
  <c r="E108" i="8"/>
  <c r="E112" i="8"/>
  <c r="E116" i="8"/>
  <c r="E107" i="8"/>
  <c r="E114" i="8"/>
  <c r="E110" i="8"/>
  <c r="E111" i="8"/>
  <c r="E113" i="8"/>
  <c r="E109" i="8"/>
  <c r="K65" i="8"/>
  <c r="K69" i="8"/>
  <c r="K68" i="8"/>
  <c r="K67" i="8"/>
  <c r="K66" i="8"/>
  <c r="K64" i="8"/>
  <c r="K71" i="8"/>
  <c r="K62" i="8"/>
  <c r="K70" i="8"/>
  <c r="K63" i="8"/>
  <c r="K61" i="8"/>
  <c r="K110" i="8"/>
  <c r="K113" i="8"/>
  <c r="K108" i="8"/>
  <c r="K116" i="8"/>
  <c r="K106" i="8"/>
  <c r="K109" i="8"/>
  <c r="K107" i="8"/>
  <c r="K111" i="8"/>
  <c r="K115" i="8"/>
  <c r="K114" i="8"/>
  <c r="K112" i="8"/>
  <c r="I71" i="8"/>
  <c r="I61" i="8"/>
  <c r="I63" i="8"/>
  <c r="I70" i="8"/>
  <c r="I68" i="8"/>
  <c r="I62" i="8"/>
  <c r="I69" i="8"/>
  <c r="I66" i="8"/>
  <c r="I64" i="8"/>
  <c r="I67" i="8"/>
  <c r="I65" i="8"/>
  <c r="G101" i="8"/>
  <c r="G94" i="8"/>
  <c r="G91" i="8"/>
  <c r="G97" i="8"/>
  <c r="G100" i="8"/>
  <c r="G96" i="8"/>
  <c r="G95" i="8"/>
  <c r="G99" i="8"/>
  <c r="G98" i="8"/>
  <c r="G93" i="8"/>
  <c r="G92" i="8"/>
  <c r="E130" i="8"/>
  <c r="E131" i="8"/>
  <c r="E126" i="8"/>
  <c r="E128" i="8"/>
  <c r="E124" i="8"/>
  <c r="E125" i="8"/>
  <c r="E121" i="8"/>
  <c r="E123" i="8"/>
  <c r="E127" i="8"/>
  <c r="E122" i="8"/>
  <c r="E129" i="8"/>
  <c r="G130" i="8"/>
  <c r="G127" i="8"/>
  <c r="G129" i="8"/>
  <c r="G125" i="8"/>
  <c r="G121" i="8"/>
  <c r="G123" i="8"/>
  <c r="G131" i="8"/>
  <c r="G122" i="8"/>
  <c r="G124" i="8"/>
  <c r="G128" i="8"/>
  <c r="G126" i="8"/>
  <c r="I110" i="8"/>
  <c r="I115" i="8"/>
  <c r="I109" i="8"/>
  <c r="I112" i="8"/>
  <c r="I114" i="8"/>
  <c r="I111" i="8"/>
  <c r="I113" i="8"/>
  <c r="I106" i="8"/>
  <c r="I116" i="8"/>
  <c r="I107" i="8"/>
  <c r="I108" i="8"/>
  <c r="H66" i="8"/>
  <c r="H68" i="8"/>
  <c r="H62" i="8"/>
  <c r="H70" i="8"/>
  <c r="H69" i="8"/>
  <c r="H67" i="8"/>
  <c r="H71" i="8"/>
  <c r="H64" i="8"/>
  <c r="H65" i="8"/>
  <c r="H63" i="8"/>
  <c r="H61" i="8"/>
  <c r="F100" i="8"/>
  <c r="F98" i="8"/>
  <c r="F94" i="8"/>
  <c r="F91" i="8"/>
  <c r="F92" i="8"/>
  <c r="F93" i="8"/>
  <c r="F96" i="8"/>
  <c r="F99" i="8"/>
  <c r="F101" i="8"/>
  <c r="F95" i="8"/>
  <c r="F97" i="8"/>
  <c r="K125" i="8"/>
  <c r="K129" i="8"/>
  <c r="K127" i="8"/>
  <c r="K128" i="8"/>
  <c r="K130" i="8"/>
  <c r="K122" i="8"/>
  <c r="K121" i="8"/>
  <c r="K123" i="8"/>
  <c r="K124" i="8"/>
  <c r="K126" i="8"/>
  <c r="K131" i="8"/>
  <c r="G116" i="8"/>
  <c r="G115" i="8"/>
  <c r="G113" i="8"/>
  <c r="G106" i="8"/>
  <c r="G109" i="8"/>
  <c r="G108" i="8"/>
  <c r="G107" i="8"/>
  <c r="G114" i="8"/>
  <c r="G110" i="8"/>
  <c r="G111" i="8"/>
  <c r="G112" i="8"/>
  <c r="F71" i="8"/>
  <c r="F64" i="8"/>
  <c r="F63" i="8"/>
  <c r="F68" i="8"/>
  <c r="F70" i="8"/>
  <c r="F62" i="8"/>
  <c r="F65" i="8"/>
  <c r="F69" i="8"/>
  <c r="F61" i="8"/>
  <c r="F66" i="8"/>
  <c r="F67" i="8"/>
  <c r="S34" i="2" l="1"/>
  <c r="K11" i="2" s="1"/>
  <c r="T34" i="2"/>
  <c r="L11" i="2" s="1"/>
  <c r="U34" i="2"/>
  <c r="M11" i="2" s="1"/>
  <c r="Q34" i="2"/>
  <c r="I11" i="2" s="1"/>
  <c r="R34" i="2"/>
  <c r="J11" i="2" s="1"/>
  <c r="M51" i="2"/>
  <c r="L51" i="2"/>
  <c r="K51" i="2"/>
  <c r="J51" i="2"/>
  <c r="I51" i="2"/>
  <c r="M50" i="2"/>
  <c r="L50" i="2"/>
  <c r="K50" i="2"/>
  <c r="J50" i="2"/>
  <c r="I50" i="2"/>
  <c r="M49" i="2"/>
  <c r="L49" i="2"/>
  <c r="K49" i="2"/>
  <c r="J49" i="2"/>
  <c r="I49" i="2"/>
  <c r="M48" i="2"/>
  <c r="L48" i="2"/>
  <c r="K48" i="2"/>
  <c r="J48" i="2"/>
  <c r="I48" i="2"/>
  <c r="M47" i="2"/>
  <c r="L47" i="2"/>
  <c r="K47" i="2"/>
  <c r="J47" i="2"/>
  <c r="I47" i="2"/>
  <c r="M46" i="2"/>
  <c r="L46" i="2"/>
  <c r="K46" i="2"/>
  <c r="J46" i="2"/>
  <c r="I46" i="2"/>
  <c r="M45" i="2"/>
  <c r="L45" i="2"/>
  <c r="K45" i="2"/>
  <c r="J45" i="2"/>
  <c r="I45" i="2"/>
  <c r="M44" i="2"/>
  <c r="L44" i="2"/>
  <c r="K44" i="2"/>
  <c r="J44" i="2"/>
  <c r="I44" i="2"/>
  <c r="M43" i="2"/>
  <c r="L43" i="2"/>
  <c r="K43" i="2"/>
  <c r="J43" i="2"/>
  <c r="I43" i="2"/>
  <c r="M42" i="2"/>
  <c r="L42" i="2"/>
  <c r="K42" i="2"/>
  <c r="J42" i="2"/>
  <c r="I42" i="2"/>
  <c r="M41" i="2"/>
  <c r="L41" i="2"/>
  <c r="K41" i="2"/>
  <c r="J41" i="2"/>
  <c r="I41" i="2"/>
  <c r="M40" i="2"/>
  <c r="L40" i="2"/>
  <c r="K40" i="2"/>
  <c r="J40" i="2"/>
  <c r="I40" i="2"/>
  <c r="M39" i="2"/>
  <c r="L39" i="2"/>
  <c r="K39" i="2"/>
  <c r="J39" i="2"/>
  <c r="I39" i="2"/>
  <c r="M38" i="2"/>
  <c r="L38" i="2"/>
  <c r="K38" i="2"/>
  <c r="J38" i="2"/>
  <c r="I38" i="2"/>
  <c r="M37" i="2"/>
  <c r="L37" i="2"/>
  <c r="K37" i="2"/>
  <c r="J37" i="2"/>
  <c r="I37" i="2"/>
  <c r="M36" i="2"/>
  <c r="L36" i="2"/>
  <c r="K36" i="2"/>
  <c r="J36" i="2"/>
  <c r="I36" i="2"/>
  <c r="M35" i="2"/>
  <c r="L35" i="2"/>
  <c r="K35" i="2"/>
  <c r="J35" i="2"/>
  <c r="I35" i="2"/>
  <c r="M34" i="2"/>
  <c r="L34" i="2"/>
  <c r="K34" i="2"/>
  <c r="J34" i="2"/>
  <c r="I34" i="2"/>
  <c r="M33" i="2"/>
  <c r="L33" i="2"/>
  <c r="K33" i="2"/>
  <c r="J33" i="2"/>
  <c r="I33" i="2"/>
  <c r="M32" i="2"/>
  <c r="L32" i="2"/>
  <c r="K32" i="2"/>
  <c r="J32" i="2"/>
  <c r="I32" i="2"/>
  <c r="M31" i="2"/>
  <c r="L31" i="2"/>
  <c r="K31" i="2"/>
  <c r="J31" i="2"/>
  <c r="I31" i="2"/>
  <c r="M30" i="2"/>
  <c r="L30" i="2"/>
  <c r="K30" i="2"/>
  <c r="J30" i="2"/>
  <c r="I30" i="2"/>
  <c r="M29" i="2"/>
  <c r="L29" i="2"/>
  <c r="K29" i="2"/>
  <c r="J29" i="2"/>
  <c r="I29" i="2"/>
  <c r="M28" i="2"/>
  <c r="L28" i="2"/>
  <c r="K28" i="2"/>
  <c r="J28" i="2"/>
  <c r="I28" i="2"/>
  <c r="M27" i="2"/>
  <c r="L27" i="2"/>
  <c r="K27" i="2"/>
  <c r="J27" i="2"/>
  <c r="I27" i="2"/>
  <c r="M26" i="2"/>
  <c r="L26" i="2"/>
  <c r="K26" i="2"/>
  <c r="J26" i="2"/>
  <c r="I26" i="2"/>
  <c r="M25" i="2"/>
  <c r="L25" i="2"/>
  <c r="K25" i="2"/>
  <c r="J25" i="2"/>
  <c r="I25" i="2"/>
  <c r="M24" i="2"/>
  <c r="L24" i="2"/>
  <c r="K24" i="2"/>
  <c r="J24" i="2"/>
  <c r="I24" i="2"/>
  <c r="M23" i="2"/>
  <c r="L23" i="2"/>
  <c r="K23" i="2"/>
  <c r="J23" i="2"/>
  <c r="I23" i="2"/>
  <c r="M22" i="2"/>
  <c r="L22" i="2"/>
  <c r="K22" i="2"/>
  <c r="J22" i="2"/>
  <c r="I22" i="2"/>
  <c r="M21" i="2"/>
  <c r="L21" i="2"/>
  <c r="K21" i="2"/>
  <c r="J21" i="2"/>
  <c r="I21" i="2"/>
  <c r="J85" i="8" l="1"/>
  <c r="L85" i="8" s="1"/>
  <c r="E15" i="8" s="1"/>
  <c r="J15" i="8" s="1"/>
  <c r="J76" i="8"/>
  <c r="L76" i="8" s="1"/>
  <c r="J82" i="8"/>
  <c r="L82" i="8" s="1"/>
  <c r="E12" i="8" s="1"/>
  <c r="J12" i="8" s="1"/>
  <c r="J86" i="8"/>
  <c r="L86" i="8" s="1"/>
  <c r="E16" i="8" s="1"/>
  <c r="J16" i="8" s="1"/>
  <c r="J77" i="8"/>
  <c r="L77" i="8" s="1"/>
  <c r="E7" i="8" s="1"/>
  <c r="J7" i="8" s="1"/>
  <c r="J79" i="8"/>
  <c r="L79" i="8" s="1"/>
  <c r="E9" i="8" s="1"/>
  <c r="J9" i="8" s="1"/>
  <c r="J80" i="8"/>
  <c r="L80" i="8" s="1"/>
  <c r="E10" i="8" s="1"/>
  <c r="J10" i="8" s="1"/>
  <c r="J83" i="8"/>
  <c r="L83" i="8" s="1"/>
  <c r="E13" i="8" s="1"/>
  <c r="J13" i="8" s="1"/>
  <c r="J78" i="8"/>
  <c r="L78" i="8" s="1"/>
  <c r="E8" i="8" s="1"/>
  <c r="J8" i="8" s="1"/>
  <c r="J84" i="8"/>
  <c r="L84" i="8" s="1"/>
  <c r="E14" i="8" s="1"/>
  <c r="J14" i="8" s="1"/>
  <c r="J81" i="8"/>
  <c r="L81" i="8" s="1"/>
  <c r="E11" i="8" s="1"/>
  <c r="J11" i="8" s="1"/>
  <c r="J70" i="8"/>
  <c r="L70" i="8" s="1"/>
  <c r="D15" i="8" s="1"/>
  <c r="I15" i="8" s="1"/>
  <c r="J61" i="8"/>
  <c r="L61" i="8" s="1"/>
  <c r="J63" i="8"/>
  <c r="L63" i="8" s="1"/>
  <c r="D8" i="8" s="1"/>
  <c r="I8" i="8" s="1"/>
  <c r="J66" i="8"/>
  <c r="L66" i="8" s="1"/>
  <c r="D11" i="8" s="1"/>
  <c r="I11" i="8" s="1"/>
  <c r="J68" i="8"/>
  <c r="L68" i="8" s="1"/>
  <c r="D13" i="8" s="1"/>
  <c r="I13" i="8" s="1"/>
  <c r="J62" i="8"/>
  <c r="L62" i="8" s="1"/>
  <c r="D7" i="8" s="1"/>
  <c r="I7" i="8" s="1"/>
  <c r="J65" i="8"/>
  <c r="L65" i="8" s="1"/>
  <c r="D10" i="8" s="1"/>
  <c r="I10" i="8" s="1"/>
  <c r="J67" i="8"/>
  <c r="L67" i="8" s="1"/>
  <c r="D12" i="8" s="1"/>
  <c r="I12" i="8" s="1"/>
  <c r="J69" i="8"/>
  <c r="L69" i="8" s="1"/>
  <c r="D14" i="8" s="1"/>
  <c r="I14" i="8" s="1"/>
  <c r="J64" i="8"/>
  <c r="L64" i="8" s="1"/>
  <c r="D9" i="8" s="1"/>
  <c r="I9" i="8" s="1"/>
  <c r="J71" i="8"/>
  <c r="L71" i="8" s="1"/>
  <c r="D16" i="8" s="1"/>
  <c r="I16" i="8" s="1"/>
  <c r="J130" i="8"/>
  <c r="L130" i="8" s="1"/>
  <c r="H15" i="8" s="1"/>
  <c r="M15" i="8" s="1"/>
  <c r="J131" i="8"/>
  <c r="L131" i="8" s="1"/>
  <c r="H16" i="8" s="1"/>
  <c r="M16" i="8" s="1"/>
  <c r="J125" i="8"/>
  <c r="L125" i="8" s="1"/>
  <c r="H10" i="8" s="1"/>
  <c r="M10" i="8" s="1"/>
  <c r="J127" i="8"/>
  <c r="L127" i="8" s="1"/>
  <c r="H12" i="8" s="1"/>
  <c r="M12" i="8" s="1"/>
  <c r="J129" i="8"/>
  <c r="L129" i="8" s="1"/>
  <c r="H14" i="8" s="1"/>
  <c r="M14" i="8" s="1"/>
  <c r="J124" i="8"/>
  <c r="L124" i="8" s="1"/>
  <c r="H9" i="8" s="1"/>
  <c r="M9" i="8" s="1"/>
  <c r="J122" i="8"/>
  <c r="L122" i="8" s="1"/>
  <c r="H7" i="8" s="1"/>
  <c r="M7" i="8" s="1"/>
  <c r="J121" i="8"/>
  <c r="L121" i="8" s="1"/>
  <c r="J123" i="8"/>
  <c r="L123" i="8" s="1"/>
  <c r="H8" i="8" s="1"/>
  <c r="M8" i="8" s="1"/>
  <c r="J128" i="8"/>
  <c r="L128" i="8" s="1"/>
  <c r="H13" i="8" s="1"/>
  <c r="M13" i="8" s="1"/>
  <c r="J126" i="8"/>
  <c r="L126" i="8" s="1"/>
  <c r="H11" i="8" s="1"/>
  <c r="M11" i="8" s="1"/>
  <c r="J110" i="8"/>
  <c r="L110" i="8" s="1"/>
  <c r="G10" i="8" s="1"/>
  <c r="L10" i="8" s="1"/>
  <c r="J112" i="8"/>
  <c r="L112" i="8" s="1"/>
  <c r="G12" i="8" s="1"/>
  <c r="L12" i="8" s="1"/>
  <c r="J106" i="8"/>
  <c r="L106" i="8" s="1"/>
  <c r="J111" i="8"/>
  <c r="L111" i="8" s="1"/>
  <c r="G11" i="8" s="1"/>
  <c r="L11" i="8" s="1"/>
  <c r="J109" i="8"/>
  <c r="L109" i="8" s="1"/>
  <c r="G9" i="8" s="1"/>
  <c r="L9" i="8" s="1"/>
  <c r="J113" i="8"/>
  <c r="L113" i="8" s="1"/>
  <c r="G13" i="8" s="1"/>
  <c r="L13" i="8" s="1"/>
  <c r="J114" i="8"/>
  <c r="L114" i="8" s="1"/>
  <c r="G14" i="8" s="1"/>
  <c r="L14" i="8" s="1"/>
  <c r="J107" i="8"/>
  <c r="L107" i="8" s="1"/>
  <c r="G7" i="8" s="1"/>
  <c r="L7" i="8" s="1"/>
  <c r="J116" i="8"/>
  <c r="L116" i="8" s="1"/>
  <c r="G16" i="8" s="1"/>
  <c r="L16" i="8" s="1"/>
  <c r="J115" i="8"/>
  <c r="L115" i="8" s="1"/>
  <c r="G15" i="8" s="1"/>
  <c r="L15" i="8" s="1"/>
  <c r="J108" i="8"/>
  <c r="L108" i="8" s="1"/>
  <c r="G8" i="8" s="1"/>
  <c r="L8" i="8" s="1"/>
  <c r="J95" i="8"/>
  <c r="L95" i="8" s="1"/>
  <c r="F10" i="8" s="1"/>
  <c r="K10" i="8" s="1"/>
  <c r="J100" i="8"/>
  <c r="L100" i="8" s="1"/>
  <c r="F15" i="8" s="1"/>
  <c r="K15" i="8" s="1"/>
  <c r="J94" i="8"/>
  <c r="L94" i="8" s="1"/>
  <c r="F9" i="8" s="1"/>
  <c r="K9" i="8" s="1"/>
  <c r="J91" i="8"/>
  <c r="L91" i="8" s="1"/>
  <c r="J92" i="8"/>
  <c r="L92" i="8" s="1"/>
  <c r="F7" i="8" s="1"/>
  <c r="K7" i="8" s="1"/>
  <c r="J93" i="8"/>
  <c r="L93" i="8" s="1"/>
  <c r="F8" i="8" s="1"/>
  <c r="K8" i="8" s="1"/>
  <c r="J97" i="8"/>
  <c r="L97" i="8" s="1"/>
  <c r="F12" i="8" s="1"/>
  <c r="K12" i="8" s="1"/>
  <c r="J99" i="8"/>
  <c r="L99" i="8" s="1"/>
  <c r="F14" i="8" s="1"/>
  <c r="K14" i="8" s="1"/>
  <c r="J96" i="8"/>
  <c r="L96" i="8" s="1"/>
  <c r="F11" i="8" s="1"/>
  <c r="K11" i="8" s="1"/>
  <c r="J98" i="8"/>
  <c r="L98" i="8" s="1"/>
  <c r="F13" i="8" s="1"/>
  <c r="K13" i="8" s="1"/>
  <c r="J101" i="8"/>
  <c r="L101" i="8" s="1"/>
  <c r="F16" i="8" s="1"/>
  <c r="K16" i="8" s="1"/>
  <c r="L72" i="8" l="1"/>
  <c r="D6" i="8"/>
  <c r="L102" i="8"/>
  <c r="F6" i="8"/>
  <c r="L117" i="8"/>
  <c r="G6" i="8"/>
  <c r="L132" i="8"/>
  <c r="H6" i="8"/>
  <c r="L87" i="8"/>
  <c r="E6" i="8"/>
  <c r="H17" i="8" l="1"/>
  <c r="M6" i="8"/>
  <c r="M17" i="8" s="1"/>
  <c r="K6" i="8"/>
  <c r="K17" i="8" s="1"/>
  <c r="F17" i="8"/>
  <c r="E17" i="8"/>
  <c r="J6" i="8"/>
  <c r="J17" i="8" s="1"/>
  <c r="G17" i="8"/>
  <c r="L6" i="8"/>
  <c r="L17" i="8" s="1"/>
  <c r="D17" i="8"/>
  <c r="I6" i="8"/>
  <c r="I17" i="8" s="1"/>
  <c r="H6" i="3" l="1"/>
  <c r="H52" i="3" s="1"/>
</calcChain>
</file>

<file path=xl/sharedStrings.xml><?xml version="1.0" encoding="utf-8"?>
<sst xmlns="http://schemas.openxmlformats.org/spreadsheetml/2006/main" count="212" uniqueCount="105">
  <si>
    <t>Project</t>
  </si>
  <si>
    <t>Silver State North</t>
  </si>
  <si>
    <t>Desert Sunlight</t>
  </si>
  <si>
    <t>Genesis</t>
  </si>
  <si>
    <t>Ivanpah</t>
  </si>
  <si>
    <t>Crescent Dunes</t>
  </si>
  <si>
    <t>Stateline</t>
  </si>
  <si>
    <t>Silver State South</t>
  </si>
  <si>
    <t>Luning</t>
  </si>
  <si>
    <t>Dry Lake Solar Energy Zone Project</t>
  </si>
  <si>
    <t>McCoy and Blythe</t>
  </si>
  <si>
    <t>https://www.power-technology.com/projects/silver-state-north-solar-project-nevada/</t>
  </si>
  <si>
    <t>http://www.firstsolar.com/Resources/Projects/Desert-Sunlight-Solar-Farm</t>
  </si>
  <si>
    <t>https://www.energy.gov/lpo/genesis</t>
  </si>
  <si>
    <t>https://www.energy.gov/lpo/ivanpah</t>
  </si>
  <si>
    <t>http://www.nexteraenergyresources.com/news/contents/2016/120816.shtml</t>
  </si>
  <si>
    <t>https://www.smobserved.com/story/2016/11/22/business/solar-energy-centers-commissioned-for-southern-ca/2233.html</t>
  </si>
  <si>
    <t>email communication with utility owner of the project on 3/14/19</t>
  </si>
  <si>
    <t>https://www.edf-re.com/commissioning-event-celebrates-operation-179-megawatt-switch-station-1-switch-station-2-solar-projects-apex-nevada/?wpisrc=nl_energy202&amp;wpmm=1</t>
  </si>
  <si>
    <t>SCC 2007 Values 5% Discount Rate Annual (2007$/metric ton CO2e)</t>
  </si>
  <si>
    <t>SCC 2007 Values 3% Discount Rate Annual (2007$/metric ton CO2e)</t>
  </si>
  <si>
    <t>SCC 2007 Values 2.5% Discount Rate Annual (2007$/metric ton CO2e)</t>
  </si>
  <si>
    <t>SCC 2007 Values 3%DR at 95th  (2007$/metric ton CO2e)</t>
  </si>
  <si>
    <t>SCC 2007 Values 7%  Discount Rate Annual (2007$/metric ton CO2e)</t>
  </si>
  <si>
    <t>Total</t>
  </si>
  <si>
    <t xml:space="preserve">3% at 95th percentile </t>
  </si>
  <si>
    <t xml:space="preserve">Amount of each year in operation by project </t>
  </si>
  <si>
    <t>Sweetwater</t>
  </si>
  <si>
    <t>Social cost of carbon 2019$ per metric ton CO2e based on annual average varying discount rates</t>
  </si>
  <si>
    <t>Cost of Metric tons of CO2e emitted by project by year  (2012-2019) in 2019$ for 7% discount rate</t>
  </si>
  <si>
    <t>Cost of Metric tons of CO2e emitted by project by year  (2012-2019) in 2019$ for 5% discount rate</t>
  </si>
  <si>
    <t>Cost of Metric tons of CO2e emitted by project by year  (2012-2019) in 2019$ for 3% discount rate</t>
  </si>
  <si>
    <t>Cost of Metric tons of CO2e emitted by project by year  (2012-2019) in 2019$ for 2.5% discount rate</t>
  </si>
  <si>
    <t>Cost of Metric tons of CO2e emitted by project by year  (2012-2019) in 2019$ for 3% discount rate at 95th percentile "High Impact"</t>
  </si>
  <si>
    <t>Total Avoided CO2 Emissions Through 2019 (in metric tons)</t>
  </si>
  <si>
    <t>n/a</t>
  </si>
  <si>
    <t>Solar PV Project</t>
  </si>
  <si>
    <t>Date 
Operational</t>
  </si>
  <si>
    <t>Years 
Operating</t>
  </si>
  <si>
    <t>https://eplanning.blm.gov/epl-front-office/projects/nepa/69990/140357/172988/sweetwater_solar_EA_appendices.pdf</t>
  </si>
  <si>
    <t>Avoided emissions by year due to solar energy generation on public lands, 2012-2019 (metric tons CO2e)</t>
  </si>
  <si>
    <t>Global Values</t>
  </si>
  <si>
    <t>Domestic Values</t>
  </si>
  <si>
    <r>
      <t xml:space="preserve">Social cost of carbon of avoided carbon dioxide emissions due to solar energy generation on public lands through 2019 
</t>
    </r>
    <r>
      <rPr>
        <sz val="14"/>
        <color theme="1"/>
        <rFont val="Calibri (Body)"/>
      </rPr>
      <t xml:space="preserve">Global and domestic SCC values, calculated with range of annual average discount rates (2019$) </t>
    </r>
  </si>
  <si>
    <t>Dry Lake Solar Energy Zone</t>
  </si>
  <si>
    <t>Month</t>
  </si>
  <si>
    <r>
      <t>2016: </t>
    </r>
    <r>
      <rPr>
        <sz val="12"/>
        <color rgb="FF1C1D1E"/>
        <rFont val="Calibri"/>
        <family val="2"/>
        <scheme val="minor"/>
      </rPr>
      <t>127,308 MWh = 73,839 MT CO2e</t>
    </r>
  </si>
  <si>
    <t>2015: began operation Oct. 2015. Produced 3,566 MWh = 2,069 MT CO2e</t>
  </si>
  <si>
    <t>2012-19 Total</t>
  </si>
  <si>
    <t xml:space="preserve">Dry Lake Solar Energy Zone </t>
  </si>
  <si>
    <t xml:space="preserve">Approximate SCC value of per ton avoided CO2 emissions in 2019 dollar,  given a 7% Annual Discount Rate  ($2019/metric ton CO2e) </t>
  </si>
  <si>
    <t xml:space="preserve">Approximate SCC value of per ton avoided CO2 emissions in 2019 dollar, given a 5% Annual Discount Rate  ($2019/metric ton CO2e) </t>
  </si>
  <si>
    <t xml:space="preserve">Approximate SCC value of per ton avoided CO2 emissions in 2019 dollar, given a 3% Annual Discount Rate  ($2019/metric ton CO2e) </t>
  </si>
  <si>
    <t xml:space="preserve">Approximate SCC value of per ton avoided CO2 emissions in 2019 dollar, given a 2.5% Annual Discount Rate  ($2019/metric ton CO2e) </t>
  </si>
  <si>
    <t xml:space="preserve">Approximate SCC value of per ton avoided CO2 emissions in 2019 dollar, given a 3% Annual Discount Rate at 95th percentile ($2019/metric ton CO2e) </t>
  </si>
  <si>
    <t>SCC value of per ton avoided CO2 emissions based on varying annual disount rates when adjusted for inflation</t>
  </si>
  <si>
    <t>SCC 2007 dollar value of per ton avoided CO2 emissions based on varying annual disount rates and including global impacts</t>
  </si>
  <si>
    <t xml:space="preserve">Domestic SCC 2007 Values 5%   Discount Rate Annual (2007$/metric ton CO2e) </t>
  </si>
  <si>
    <t>Domestic SCC 2007 Values 3% Discount Rate Annual (2007$/metric ton CO2e)</t>
  </si>
  <si>
    <t>Domestic SCC 2007 Values 2.5% Discount Rate Annual (2007$/metric ton CO2e)</t>
  </si>
  <si>
    <t>Domestic SCC 2007 Values 3%DR at 95th  (2007$/metric ton CO2e)</t>
  </si>
  <si>
    <t>Domestic SCC 2007 Values 7% Discount Rate Annual (2007$/metric ton CO2e)</t>
  </si>
  <si>
    <t>Note: Cumulative rate of inflation is 24.1% based on the US Inflation Calculator. In other words something valued at $1 in 2007, is valued at $1.232 in 2019 dollar value.  https://www.officialdata.org</t>
  </si>
  <si>
    <t xml:space="preserve">Note: Average annual per ton dollar value of avoided CO2 emissions established by the Interagency Working Group (IWG) on Social Cost of Greenhouse Gases under Executive Order 12866. See: Technical Update of the Social Cost of Carbon for Regulatory Impact Analysis Under Executive Order 12866 (May 2013, Revised August 2016). https://19january2017snapshot.epa.gov/climatechange/social-cost-carbon-technical-documentation </t>
  </si>
  <si>
    <t>Convert into 2019 dollar by adjusting for cumulative rate of inflation.</t>
  </si>
  <si>
    <t>Estimated annual per ton SCC values pulled from Tab 7.2</t>
  </si>
  <si>
    <t xml:space="preserve">Multiply portion of year in operation by project estimated emissions avoided published by individual operators. </t>
  </si>
  <si>
    <t>Multiply per year estimated avoided emissions by annual per ton SCC values for each project for each year, using a 7% discount rate.</t>
  </si>
  <si>
    <t>Multiply per year estimated avoided emissions by annual per ton SCC values for each project for each year, using a 3% discount rate at 95th percentile.</t>
  </si>
  <si>
    <t>Multiply per year estimated avoided emissions by annual per ton SCC values for each project for each year, using a 2.5% discount rate.</t>
  </si>
  <si>
    <t>Multiply per year estimated avoided emissions by annual per ton SCC values for each project for each year, using a 3% discount rate.</t>
  </si>
  <si>
    <t>Multiply per year estimated avoided emissions by annual per ton SCC values for each project for each year, using a 5% discount rate.</t>
  </si>
  <si>
    <t>Portion of each year in operation by project (see Tab 7.1)</t>
  </si>
  <si>
    <t>Source for operators' stated annual emissions avoided by project</t>
  </si>
  <si>
    <r>
      <t xml:space="preserve">Social cost of carbon values, calculated with range of annual average discount rates
</t>
    </r>
    <r>
      <rPr>
        <sz val="16"/>
        <color theme="1"/>
        <rFont val="Calibri"/>
        <family val="2"/>
        <scheme val="minor"/>
      </rPr>
      <t xml:space="preserve"> (2019$/metric ton CO2e) </t>
    </r>
  </si>
  <si>
    <r>
      <t xml:space="preserve">SCC 2007 dollar value of per ton avoided CO2 emissions based on varying annual disount rates and limiting to domestic impacts </t>
    </r>
    <r>
      <rPr>
        <sz val="12"/>
        <color theme="1"/>
        <rFont val="Calibri"/>
        <family val="2"/>
        <scheme val="minor"/>
      </rPr>
      <t>[Domestic SCC is estimate at 10% of global SCC]</t>
    </r>
  </si>
  <si>
    <t>Operator estimated annual MT CO2e avoided if generating expected 500,000 MWh per year</t>
  </si>
  <si>
    <t>Total MMBtu per year</t>
  </si>
  <si>
    <t>EIA: Fuel consumption MMBtu Crescent Dunes (CD) Solar Energy (57275) solar energy storage concentrated solar power by month</t>
  </si>
  <si>
    <t>Percent of expected output actually generated each year</t>
  </si>
  <si>
    <t>Operator originally  planned CD to generate 500,000 MWh when running at full capacity for an entire year</t>
  </si>
  <si>
    <t>2019: CD only operated January to April in 2019 and produced 50,148 MWh, equaling 29,086 MT CO2e of avoided emissions achieved calculated based on Crescent Dunes' actual production in 2019.</t>
  </si>
  <si>
    <t>2018: 195,568 MWh/year = 113,429 MT CO2e</t>
  </si>
  <si>
    <t>2017: 42,012 MWh = 24,367 MT CO2e</t>
  </si>
  <si>
    <t>Total avoided emissions 2015-19 (MT CO2e)</t>
  </si>
  <si>
    <t>Total MWh generated per year*</t>
  </si>
  <si>
    <t>Notes</t>
  </si>
  <si>
    <t>Calculated MT CO2e avoided each year based on actual generation</t>
  </si>
  <si>
    <r>
      <t xml:space="preserve">*Total MWh generated per year for 2015 and 2019 use ratios based on data published in Boretti 2019 for years 2016, 2017, and 2018.
Crescent Dunes sources: date of operation and estimated MT CO2e avoided emissions if operating at full expected capcity from https://www.power-technology.com/projects/crescent-dunes-solar-energy-project-nevada/.   
Production data for Crescent Dunes is from: EIA Electricity Data Browser. www.eia.gov/beta/electricity/data/browser/   Data is updated to Sept 2019, but there has not been production at the plant since April 2019. 
</t>
    </r>
    <r>
      <rPr>
        <u/>
        <sz val="11"/>
        <color theme="1"/>
        <rFont val="Calibri (Body)"/>
      </rPr>
      <t>Sources:</t>
    </r>
    <r>
      <rPr>
        <sz val="11"/>
        <color theme="1"/>
        <rFont val="Calibri"/>
        <family val="2"/>
        <scheme val="minor"/>
      </rPr>
      <t xml:space="preserve">
- Boretti, Alberto. 2019. A realistic expectation of electricity production from current design concentrated solar power solar tower with thermal energy storage. Energy Storage. 03 May 2019. https://onlinelibrary.wiley.com/doi/epdf/10.1002/est2.57
- U.S. Energy Information Administration. Fuel consumption MMBtu Crescent Dunes Solar Energy (57275) solar energy storage concentrated solar power monthly. Series ID: ELEC.PLANT.CONS_TOT_BTU.57275-SUN-CP.M MMBtu. Retrieved Dec 2019 from https://www.eia.gov/opendata/qb.php?category=1810648&amp;sdid=ELEC.PLANT.CONS_TOT_BTU.57275-SUN-CP.M</t>
    </r>
  </si>
  <si>
    <t>If generating 500,000 MWh of annual electricity as initially planned, then the Crescent Dunes plant would have eliminated an estimated 290,000 metric tonnes of CO2 emissions annually. In reality, Crescent Dunes fell far short of expected production each year due to various issues (including a leak in a tank, potentially poor design, and the underestimated impact of cloud coverage) and, therefore, we have calculated annual electricity generated and corresponding MT CO2 of avoided annual emissions based on EIA monthly production data and data published in Boretti 2019 (see below).</t>
  </si>
  <si>
    <t>Tab 4. "Crescent Dunes"</t>
  </si>
  <si>
    <t>Tab 3. "By project and total SCC calculations"</t>
  </si>
  <si>
    <t>Tab 2. "SCC discount rates"</t>
  </si>
  <si>
    <t xml:space="preserve">Due to various issues, Crescent Dunes has produced less electricity than expected since beginning operation in the end of 2015. As such, we use EIA data to calculate the avoided emissions stemming from actual production at Crescent Dunes each year.  </t>
  </si>
  <si>
    <t>Crescent Dunes***</t>
  </si>
  <si>
    <t>Annual CO2 Emissions Avoided* 
(in metric tons)</t>
  </si>
  <si>
    <t>Avoided Emissions Equivalent # cars taken off the road for a year **</t>
  </si>
  <si>
    <t xml:space="preserve">*Estimates of operators’ published expectations of annual carbon dioxide emissions avoided for each individual solar project vary based on expected production once operating at full capacity as well as by the type of fuel and generation methods that the projects are expected to be replacing. For all projects except for Crescent Dunes, the full MW capacity was assumed to come online at the same time once project operations commenced.
**Avoided emissions converted into equivalent number of cars taken off the road for a year using EPA's GHG Equivalencies Calculator (See https://www.epa.gov/energy/greenhouse-gas-equivalencies-calculator )
*** Due to various issues, Crescent Dunes has produced far less electricity than expected since beginning operation in the end of 2015. As such, we use actual production data from EIA Electricity Data Browser to calculate the avoided emissions stemming from actual production at Crescent Dunes each year. (See Excel Tab 7.4)
</t>
  </si>
  <si>
    <t>Project start dates, estimated annual emissions avoided by project, and the equivalent number of cars taken off the road.</t>
  </si>
  <si>
    <t>Adjusted per ton SCC values in 2019 dollars across five discount rates to use for calculating the monetary value of avoided emissions due to the solar projects both collectively and by individual years between 2012 and 2019.</t>
  </si>
  <si>
    <t>Tab 1. "Solar projects avoided CO2e"</t>
  </si>
  <si>
    <t>Cummulative and by project SCC calculations across varying discount rates.</t>
  </si>
  <si>
    <t>This workbook contains the following in support of Appendix 7.</t>
  </si>
  <si>
    <t>Compiled SCC values for each project's cummulative avoided emissions using five different discount rates shown in rows 59-131 below. Values that are limited to domestic impacts are estimated to be 10% of global values.</t>
  </si>
  <si>
    <t xml:space="preserve">https://www.power-technology.com/projects/crescent-dunes-solar-energy-project-nevada/ and EIA Electricity Data Browser. www.eia.gov/beta/electricity/data/browser/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</si>
</sst>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_(* #,##0_);_(* \(#,##0\);_(* &quot;-&quot;??_);_(@_)"/>
    <numFmt numFmtId="166" formatCode="_-&quot;$&quot;* #,##0.00_-;\-&quot;$&quot;* #,##0.00_-;_-&quot;$&quot;* &quot;-&quot;??_-;_-@_-"/>
    <numFmt numFmtId="167" formatCode="_-&quot;$&quot;* #,##0_-;\-&quot;$&quot;* #,##0_-;_-&quot;$&quot;* &quot;-&quot;??_-;_-@_-"/>
    <numFmt numFmtId="168" formatCode="_-[$$-409]* #,##0.00_ ;_-[$$-409]* \-#,##0.00\ ;_-[$$-409]* &quot;-&quot;??_ ;_-@_ "/>
    <numFmt numFmtId="169" formatCode="_(&quot;$&quot;* #,##0_);_(&quot;$&quot;* \(#,##0\);_(&quot;$&quot;* &quot;-&quot;??_);_(@_)"/>
    <numFmt numFmtId="170" formatCode="0.000"/>
    <numFmt numFmtId="171" formatCode="&quot;$&quot;#,##0.00"/>
    <numFmt numFmtId="172" formatCode="&quot;$&quot;#,##0"/>
    <numFmt numFmtId="173" formatCode="_(* #,##0.000_);_(* \(#,##0.000\);_(* &quot;-&quot;??_);_(@_)"/>
    <numFmt numFmtId="174" formatCode="0.0%"/>
  </numFmts>
  <fonts count="28">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sz val="12"/>
      <color rgb="FF9C0006"/>
      <name val="Calibri"/>
      <family val="2"/>
      <scheme val="minor"/>
    </font>
    <font>
      <sz val="12"/>
      <name val="Calibri"/>
      <family val="2"/>
      <scheme val="minor"/>
    </font>
    <font>
      <b/>
      <sz val="11"/>
      <color theme="1"/>
      <name val="Calibri"/>
      <family val="2"/>
      <scheme val="minor"/>
    </font>
    <font>
      <b/>
      <sz val="12"/>
      <name val="Calibri"/>
      <family val="2"/>
      <scheme val="minor"/>
    </font>
    <font>
      <sz val="1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b/>
      <sz val="16"/>
      <color theme="1"/>
      <name val="Calibri"/>
      <family val="2"/>
      <scheme val="minor"/>
    </font>
    <font>
      <sz val="16"/>
      <color theme="1"/>
      <name val="Calibri"/>
      <family val="2"/>
      <scheme val="minor"/>
    </font>
    <font>
      <sz val="14"/>
      <color theme="1"/>
      <name val="Calibri (Body)"/>
    </font>
    <font>
      <sz val="12"/>
      <color rgb="FF0A0A0A"/>
      <name val="Calibri"/>
      <family val="2"/>
      <scheme val="minor"/>
    </font>
    <font>
      <sz val="12"/>
      <color rgb="FF1C1D1E"/>
      <name val="Calibri"/>
      <family val="2"/>
      <scheme val="minor"/>
    </font>
    <font>
      <sz val="12"/>
      <color rgb="FF000000"/>
      <name val="Calibri"/>
      <family val="2"/>
      <scheme val="minor"/>
    </font>
    <font>
      <b/>
      <sz val="11"/>
      <color rgb="FF000000"/>
      <name val="Calibri"/>
      <family val="2"/>
      <scheme val="minor"/>
    </font>
    <font>
      <b/>
      <i/>
      <sz val="12"/>
      <color theme="1"/>
      <name val="Calibri"/>
      <family val="2"/>
      <scheme val="minor"/>
    </font>
    <font>
      <i/>
      <sz val="10"/>
      <name val="Calibri"/>
      <family val="2"/>
      <scheme val="minor"/>
    </font>
    <font>
      <sz val="10"/>
      <color theme="1"/>
      <name val="Calibri"/>
      <family val="2"/>
      <scheme val="minor"/>
    </font>
    <font>
      <sz val="11"/>
      <color rgb="FF7030A0"/>
      <name val="Calibri"/>
      <family val="2"/>
      <scheme val="minor"/>
    </font>
    <font>
      <i/>
      <sz val="11"/>
      <color theme="1"/>
      <name val="Calibri"/>
      <family val="2"/>
      <scheme val="minor"/>
    </font>
    <font>
      <b/>
      <sz val="12"/>
      <color rgb="FF7030A0"/>
      <name val="Calibri"/>
      <family val="2"/>
      <scheme val="minor"/>
    </font>
    <font>
      <u/>
      <sz val="11"/>
      <color theme="1"/>
      <name val="Calibri (Body)"/>
    </font>
  </fonts>
  <fills count="11">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9E1F2"/>
        <bgColor rgb="FF000000"/>
      </patternFill>
    </fill>
    <fill>
      <patternFill patternType="solid">
        <fgColor theme="7" tint="0.59999389629810485"/>
        <bgColor indexed="64"/>
      </patternFill>
    </fill>
  </fills>
  <borders count="29">
    <border>
      <left/>
      <right/>
      <top/>
      <bottom/>
      <diagonal/>
    </border>
    <border>
      <left/>
      <right/>
      <top/>
      <bottom style="thin">
        <color indexed="64"/>
      </bottom>
      <diagonal/>
    </border>
    <border>
      <left style="thin">
        <color auto="1"/>
      </left>
      <right style="thin">
        <color auto="1"/>
      </right>
      <top/>
      <bottom/>
      <diagonal/>
    </border>
    <border>
      <left/>
      <right/>
      <top/>
      <bottom style="thin">
        <color theme="1"/>
      </bottom>
      <diagonal/>
    </border>
    <border>
      <left/>
      <right style="hair">
        <color theme="0" tint="-0.34998626667073579"/>
      </right>
      <top style="thin">
        <color theme="1"/>
      </top>
      <bottom/>
      <diagonal/>
    </border>
    <border>
      <left style="hair">
        <color theme="0" tint="-0.34998626667073579"/>
      </left>
      <right style="hair">
        <color theme="0" tint="-0.34998626667073579"/>
      </right>
      <top style="thin">
        <color theme="1"/>
      </top>
      <bottom/>
      <diagonal/>
    </border>
    <border>
      <left style="hair">
        <color theme="0" tint="-0.34998626667073579"/>
      </left>
      <right/>
      <top style="thin">
        <color theme="1"/>
      </top>
      <bottom/>
      <diagonal/>
    </border>
    <border>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top/>
      <bottom/>
      <diagonal/>
    </border>
    <border>
      <left/>
      <right style="hair">
        <color theme="0" tint="-0.34998626667073579"/>
      </right>
      <top/>
      <bottom style="thin">
        <color theme="0" tint="-0.34998626667073579"/>
      </bottom>
      <diagonal/>
    </border>
    <border>
      <left style="hair">
        <color theme="0" tint="-0.34998626667073579"/>
      </left>
      <right/>
      <top/>
      <bottom style="thin">
        <color theme="0" tint="-0.34998626667073579"/>
      </bottom>
      <diagonal/>
    </border>
    <border>
      <left style="thin">
        <color auto="1"/>
      </left>
      <right style="thin">
        <color auto="1"/>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double">
        <color theme="0" tint="-0.34998626667073579"/>
      </left>
      <right style="hair">
        <color theme="0" tint="-0.34998626667073579"/>
      </right>
      <top/>
      <bottom/>
      <diagonal/>
    </border>
    <border>
      <left style="double">
        <color theme="0" tint="-0.34998626667073579"/>
      </left>
      <right style="hair">
        <color theme="0" tint="-0.34998626667073579"/>
      </right>
      <top/>
      <bottom style="thin">
        <color theme="0" tint="-0.34998626667073579"/>
      </bottom>
      <diagonal/>
    </border>
    <border>
      <left style="double">
        <color theme="0" tint="-0.34998626667073579"/>
      </left>
      <right/>
      <top/>
      <bottom/>
      <diagonal/>
    </border>
    <border>
      <left style="thin">
        <color theme="1"/>
      </left>
      <right style="thin">
        <color theme="1"/>
      </right>
      <top/>
      <bottom style="thin">
        <color theme="0" tint="-0.34998626667073579"/>
      </bottom>
      <diagonal/>
    </border>
    <border>
      <left style="hair">
        <color theme="0" tint="-0.34998626667073579"/>
      </left>
      <right style="hair">
        <color theme="0" tint="-0.34998626667073579"/>
      </right>
      <top/>
      <bottom style="thin">
        <color auto="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34998626667073579"/>
      </bottom>
      <diagonal/>
    </border>
    <border>
      <left/>
      <right style="hair">
        <color theme="0" tint="-0.34998626667073579"/>
      </right>
      <top style="hair">
        <color theme="9"/>
      </top>
      <bottom/>
      <diagonal/>
    </border>
    <border>
      <left style="hair">
        <color theme="0" tint="-0.34998626667073579"/>
      </left>
      <right style="hair">
        <color theme="0" tint="-0.34998626667073579"/>
      </right>
      <top style="hair">
        <color theme="9"/>
      </top>
      <bottom/>
      <diagonal/>
    </border>
    <border>
      <left style="hair">
        <color theme="0" tint="-0.34998626667073579"/>
      </left>
      <right/>
      <top style="hair">
        <color theme="9"/>
      </top>
      <bottom/>
      <diagonal/>
    </border>
    <border>
      <left style="hair">
        <color theme="9"/>
      </left>
      <right/>
      <top style="thin">
        <color theme="1"/>
      </top>
      <bottom/>
      <diagonal/>
    </border>
    <border>
      <left style="hair">
        <color theme="9"/>
      </left>
      <right/>
      <top/>
      <bottom/>
      <diagonal/>
    </border>
    <border>
      <left/>
      <right style="hair">
        <color theme="9"/>
      </right>
      <top/>
      <bottom/>
      <diagonal/>
    </border>
    <border>
      <left style="double">
        <color theme="0" tint="-0.34998626667073579"/>
      </left>
      <right style="hair">
        <color theme="0" tint="-0.34998626667073579"/>
      </right>
      <top style="thin">
        <color theme="0" tint="-0.34998626667073579"/>
      </top>
      <bottom/>
      <diagonal/>
    </border>
    <border>
      <left style="thin">
        <color theme="1"/>
      </left>
      <right style="thin">
        <color theme="1"/>
      </right>
      <top style="thin">
        <color theme="0" tint="-0.34998626667073579"/>
      </top>
      <bottom/>
      <diagonal/>
    </border>
  </borders>
  <cellStyleXfs count="9">
    <xf numFmtId="0" fontId="0" fillId="0" borderId="0"/>
    <xf numFmtId="43"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xf numFmtId="0" fontId="5" fillId="2" borderId="0" applyNumberFormat="0" applyBorder="0" applyAlignment="0" applyProtection="0"/>
    <xf numFmtId="166"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0" fillId="0" borderId="0" xfId="0" applyAlignment="1">
      <alignment wrapText="1"/>
    </xf>
    <xf numFmtId="165" fontId="0" fillId="0" borderId="0" xfId="1" applyNumberFormat="1" applyFont="1" applyAlignment="1">
      <alignment wrapText="1"/>
    </xf>
    <xf numFmtId="165" fontId="0" fillId="0" borderId="0" xfId="0" applyNumberFormat="1" applyAlignment="1">
      <alignment wrapText="1"/>
    </xf>
    <xf numFmtId="0" fontId="4" fillId="0" borderId="0" xfId="2"/>
    <xf numFmtId="0" fontId="0" fillId="0" borderId="0" xfId="0" applyAlignment="1">
      <alignment vertical="center" wrapText="1"/>
    </xf>
    <xf numFmtId="165" fontId="7" fillId="0" borderId="0" xfId="0" applyNumberFormat="1" applyFont="1" applyAlignment="1">
      <alignment wrapText="1"/>
    </xf>
    <xf numFmtId="0" fontId="9" fillId="0" borderId="0" xfId="0" applyFont="1" applyFill="1" applyAlignment="1">
      <alignment wrapText="1"/>
    </xf>
    <xf numFmtId="0" fontId="0" fillId="0" borderId="0" xfId="0" applyFill="1" applyAlignment="1">
      <alignment wrapText="1"/>
    </xf>
    <xf numFmtId="0" fontId="0" fillId="0" borderId="0" xfId="0" applyFill="1" applyBorder="1" applyAlignment="1">
      <alignment wrapText="1"/>
    </xf>
    <xf numFmtId="165" fontId="0" fillId="0" borderId="0" xfId="1" applyNumberFormat="1" applyFont="1" applyFill="1" applyAlignment="1">
      <alignment wrapText="1"/>
    </xf>
    <xf numFmtId="0" fontId="0" fillId="0" borderId="0" xfId="0" applyAlignment="1">
      <alignment horizontal="right" wrapText="1"/>
    </xf>
    <xf numFmtId="169" fontId="0" fillId="0" borderId="0" xfId="0" applyNumberFormat="1" applyFont="1" applyFill="1" applyBorder="1" applyAlignment="1">
      <alignment wrapText="1"/>
    </xf>
    <xf numFmtId="0" fontId="0" fillId="0" borderId="0" xfId="1" applyNumberFormat="1" applyFont="1" applyAlignment="1">
      <alignment horizontal="center" wrapText="1"/>
    </xf>
    <xf numFmtId="169" fontId="0" fillId="0" borderId="0" xfId="0" applyNumberFormat="1" applyAlignment="1">
      <alignment wrapText="1"/>
    </xf>
    <xf numFmtId="9" fontId="0" fillId="0" borderId="0" xfId="0" applyNumberFormat="1" applyAlignment="1">
      <alignment wrapText="1"/>
    </xf>
    <xf numFmtId="10" fontId="0" fillId="0" borderId="0" xfId="0" applyNumberFormat="1" applyAlignment="1">
      <alignment wrapText="1"/>
    </xf>
    <xf numFmtId="0" fontId="6" fillId="0" borderId="0" xfId="4" applyFont="1" applyFill="1" applyAlignment="1">
      <alignment horizontal="right" wrapText="1"/>
    </xf>
    <xf numFmtId="0" fontId="6" fillId="0" borderId="0" xfId="4" applyFont="1" applyFill="1" applyAlignment="1">
      <alignment wrapText="1"/>
    </xf>
    <xf numFmtId="165" fontId="0" fillId="0" borderId="0" xfId="1" applyNumberFormat="1" applyFont="1" applyAlignment="1">
      <alignment horizontal="right" wrapText="1"/>
    </xf>
    <xf numFmtId="0" fontId="9" fillId="0" borderId="0" xfId="0" applyFont="1" applyFill="1" applyAlignment="1">
      <alignment horizontal="right" wrapText="1"/>
    </xf>
    <xf numFmtId="165" fontId="0" fillId="0" borderId="0" xfId="1" applyNumberFormat="1" applyFont="1" applyAlignment="1">
      <alignment horizontal="center" wrapText="1"/>
    </xf>
    <xf numFmtId="0" fontId="11" fillId="0" borderId="0" xfId="0" applyFont="1" applyAlignment="1">
      <alignment horizontal="center" wrapText="1"/>
    </xf>
    <xf numFmtId="0" fontId="11" fillId="0" borderId="0" xfId="0" applyFont="1" applyAlignment="1">
      <alignment wrapText="1"/>
    </xf>
    <xf numFmtId="9" fontId="6" fillId="0" borderId="0" xfId="0" applyNumberFormat="1" applyFont="1" applyFill="1" applyBorder="1" applyAlignment="1">
      <alignment horizontal="right" wrapText="1"/>
    </xf>
    <xf numFmtId="10"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165" fontId="6" fillId="0" borderId="0" xfId="4" applyNumberFormat="1" applyFont="1" applyFill="1" applyAlignment="1">
      <alignment horizontal="right" wrapText="1"/>
    </xf>
    <xf numFmtId="165" fontId="9" fillId="0" borderId="0" xfId="1" applyNumberFormat="1" applyFont="1" applyFill="1" applyAlignment="1">
      <alignment horizontal="right" wrapText="1"/>
    </xf>
    <xf numFmtId="165" fontId="0" fillId="0" borderId="0" xfId="1" applyNumberFormat="1" applyFont="1" applyFill="1" applyAlignment="1">
      <alignment horizontal="center" wrapText="1"/>
    </xf>
    <xf numFmtId="165" fontId="7" fillId="0" borderId="0" xfId="0" applyNumberFormat="1" applyFont="1" applyFill="1" applyAlignment="1">
      <alignment horizontal="center" wrapText="1"/>
    </xf>
    <xf numFmtId="165" fontId="9" fillId="0" borderId="0" xfId="1" applyNumberFormat="1" applyFont="1" applyFill="1" applyAlignment="1">
      <alignment horizontal="center" wrapText="1"/>
    </xf>
    <xf numFmtId="0" fontId="10" fillId="0" borderId="0" xfId="0" applyFont="1" applyFill="1" applyBorder="1" applyAlignment="1">
      <alignment wrapText="1"/>
    </xf>
    <xf numFmtId="0" fontId="1" fillId="0" borderId="0" xfId="1" applyNumberFormat="1" applyFont="1" applyAlignment="1">
      <alignment horizontal="center" wrapText="1"/>
    </xf>
    <xf numFmtId="0" fontId="11" fillId="0" borderId="0" xfId="0" applyFont="1" applyAlignment="1">
      <alignment horizontal="right" wrapText="1"/>
    </xf>
    <xf numFmtId="0" fontId="1" fillId="0" borderId="0" xfId="6"/>
    <xf numFmtId="165" fontId="0" fillId="0" borderId="0" xfId="7" applyNumberFormat="1" applyFont="1"/>
    <xf numFmtId="10" fontId="0" fillId="0" borderId="0" xfId="8" applyNumberFormat="1" applyFont="1"/>
    <xf numFmtId="0" fontId="11" fillId="0" borderId="0" xfId="6" applyFont="1" applyAlignment="1">
      <alignment wrapText="1"/>
    </xf>
    <xf numFmtId="165" fontId="11" fillId="0" borderId="0" xfId="7" applyNumberFormat="1" applyFont="1" applyAlignment="1">
      <alignment wrapText="1"/>
    </xf>
    <xf numFmtId="10" fontId="11" fillId="0" borderId="0" xfId="8" applyNumberFormat="1" applyFont="1" applyAlignment="1">
      <alignment wrapText="1"/>
    </xf>
    <xf numFmtId="0" fontId="11" fillId="0" borderId="4" xfId="1" applyNumberFormat="1" applyFont="1" applyBorder="1" applyAlignment="1">
      <alignment horizontal="right" vertical="top" wrapText="1"/>
    </xf>
    <xf numFmtId="0" fontId="11" fillId="0" borderId="5" xfId="1" applyNumberFormat="1" applyFont="1" applyBorder="1" applyAlignment="1">
      <alignment horizontal="right" vertical="top" wrapText="1"/>
    </xf>
    <xf numFmtId="165" fontId="1" fillId="0" borderId="7" xfId="1" applyNumberFormat="1" applyFont="1" applyBorder="1" applyAlignment="1">
      <alignment horizontal="center" vertical="top" wrapText="1"/>
    </xf>
    <xf numFmtId="165" fontId="1" fillId="0" borderId="8" xfId="1" applyNumberFormat="1" applyFont="1" applyBorder="1" applyAlignment="1">
      <alignment horizontal="center" vertical="top" wrapText="1"/>
    </xf>
    <xf numFmtId="0" fontId="1" fillId="0" borderId="7" xfId="0" applyFont="1" applyBorder="1" applyAlignment="1">
      <alignment horizontal="center" vertical="top" wrapText="1"/>
    </xf>
    <xf numFmtId="0" fontId="11" fillId="6" borderId="6" xfId="0" applyFont="1" applyFill="1" applyBorder="1" applyAlignment="1">
      <alignment horizontal="right" vertical="top" wrapText="1"/>
    </xf>
    <xf numFmtId="9" fontId="6" fillId="0" borderId="10" xfId="0" applyNumberFormat="1" applyFont="1" applyFill="1" applyBorder="1" applyAlignment="1">
      <alignment horizontal="center" wrapText="1"/>
    </xf>
    <xf numFmtId="9" fontId="6" fillId="0" borderId="11" xfId="0" applyNumberFormat="1" applyFont="1" applyFill="1" applyBorder="1" applyAlignment="1">
      <alignment horizontal="center" wrapText="1"/>
    </xf>
    <xf numFmtId="9" fontId="8" fillId="0" borderId="12" xfId="0" applyNumberFormat="1" applyFont="1" applyFill="1" applyBorder="1" applyAlignment="1">
      <alignment horizontal="center" wrapText="1"/>
    </xf>
    <xf numFmtId="10" fontId="6" fillId="0" borderId="10" xfId="0" applyNumberFormat="1" applyFont="1" applyFill="1" applyBorder="1" applyAlignment="1">
      <alignment horizontal="center" wrapText="1"/>
    </xf>
    <xf numFmtId="0" fontId="6" fillId="0" borderId="11" xfId="0" applyFont="1" applyFill="1" applyBorder="1" applyAlignment="1">
      <alignment horizontal="center" wrapText="1"/>
    </xf>
    <xf numFmtId="9" fontId="6" fillId="0" borderId="15" xfId="0" applyNumberFormat="1" applyFont="1" applyFill="1" applyBorder="1" applyAlignment="1">
      <alignment horizontal="center" wrapText="1"/>
    </xf>
    <xf numFmtId="165" fontId="1" fillId="0" borderId="0" xfId="1" applyNumberFormat="1" applyFont="1" applyAlignment="1">
      <alignment horizontal="center" wrapText="1"/>
    </xf>
    <xf numFmtId="0" fontId="1" fillId="0" borderId="0" xfId="0" applyFont="1" applyAlignment="1">
      <alignment horizontal="right" wrapText="1"/>
    </xf>
    <xf numFmtId="172" fontId="1" fillId="0" borderId="7" xfId="3" applyNumberFormat="1" applyFont="1" applyFill="1" applyBorder="1" applyAlignment="1">
      <alignment wrapText="1"/>
    </xf>
    <xf numFmtId="172" fontId="1" fillId="0" borderId="9" xfId="3" applyNumberFormat="1" applyFont="1" applyFill="1" applyBorder="1" applyAlignment="1">
      <alignment wrapText="1"/>
    </xf>
    <xf numFmtId="172" fontId="11" fillId="0" borderId="2" xfId="3" applyNumberFormat="1" applyFont="1" applyFill="1" applyBorder="1" applyAlignment="1">
      <alignment wrapText="1"/>
    </xf>
    <xf numFmtId="172" fontId="1" fillId="0" borderId="14" xfId="0" applyNumberFormat="1" applyFont="1" applyFill="1" applyBorder="1" applyAlignment="1">
      <alignment wrapText="1"/>
    </xf>
    <xf numFmtId="172" fontId="1" fillId="0" borderId="9" xfId="0" applyNumberFormat="1" applyFont="1" applyFill="1" applyBorder="1" applyAlignment="1">
      <alignment wrapText="1"/>
    </xf>
    <xf numFmtId="172" fontId="1" fillId="0" borderId="7" xfId="0" applyNumberFormat="1" applyFont="1" applyFill="1" applyBorder="1" applyAlignment="1">
      <alignment wrapText="1"/>
    </xf>
    <xf numFmtId="0" fontId="1" fillId="0" borderId="0" xfId="0" applyFont="1" applyAlignment="1">
      <alignment horizontal="right"/>
    </xf>
    <xf numFmtId="172" fontId="1" fillId="0" borderId="14" xfId="0" applyNumberFormat="1" applyFont="1" applyBorder="1" applyAlignment="1">
      <alignment wrapText="1"/>
    </xf>
    <xf numFmtId="172" fontId="1" fillId="0" borderId="9" xfId="0" applyNumberFormat="1" applyFont="1" applyBorder="1" applyAlignment="1">
      <alignment wrapText="1"/>
    </xf>
    <xf numFmtId="172" fontId="1" fillId="0" borderId="7" xfId="0" applyNumberFormat="1" applyFont="1" applyBorder="1" applyAlignment="1">
      <alignment wrapText="1"/>
    </xf>
    <xf numFmtId="165" fontId="11" fillId="0" borderId="0" xfId="0" applyNumberFormat="1" applyFont="1" applyAlignment="1">
      <alignment horizontal="center" wrapText="1"/>
    </xf>
    <xf numFmtId="172" fontId="1" fillId="5" borderId="7" xfId="0" applyNumberFormat="1" applyFont="1" applyFill="1" applyBorder="1" applyAlignment="1">
      <alignment wrapText="1"/>
    </xf>
    <xf numFmtId="172" fontId="1" fillId="5" borderId="9" xfId="0" applyNumberFormat="1" applyFont="1" applyFill="1" applyBorder="1" applyAlignment="1">
      <alignment wrapText="1"/>
    </xf>
    <xf numFmtId="172" fontId="11" fillId="5" borderId="2" xfId="0" applyNumberFormat="1" applyFont="1" applyFill="1" applyBorder="1" applyAlignment="1">
      <alignment wrapText="1"/>
    </xf>
    <xf numFmtId="172" fontId="1" fillId="4" borderId="14" xfId="0" applyNumberFormat="1" applyFont="1" applyFill="1" applyBorder="1" applyAlignment="1">
      <alignment wrapText="1"/>
    </xf>
    <xf numFmtId="172" fontId="1" fillId="4" borderId="9" xfId="0" applyNumberFormat="1" applyFont="1" applyFill="1" applyBorder="1" applyAlignment="1">
      <alignment wrapText="1"/>
    </xf>
    <xf numFmtId="172" fontId="1" fillId="4" borderId="7" xfId="0" applyNumberFormat="1" applyFont="1" applyFill="1" applyBorder="1" applyAlignment="1">
      <alignment wrapText="1"/>
    </xf>
    <xf numFmtId="0" fontId="1" fillId="0" borderId="0" xfId="1" applyNumberFormat="1" applyFont="1" applyAlignment="1">
      <alignment horizontal="right" wrapText="1"/>
    </xf>
    <xf numFmtId="0" fontId="1" fillId="0" borderId="0" xfId="0" applyFont="1" applyAlignment="1">
      <alignment wrapText="1"/>
    </xf>
    <xf numFmtId="0" fontId="14" fillId="0" borderId="3" xfId="0" applyFont="1" applyBorder="1" applyAlignment="1">
      <alignment horizontal="center" wrapText="1"/>
    </xf>
    <xf numFmtId="172" fontId="0" fillId="0" borderId="0" xfId="0" applyNumberFormat="1" applyAlignment="1">
      <alignment wrapText="1"/>
    </xf>
    <xf numFmtId="172" fontId="6" fillId="0" borderId="0" xfId="4" applyNumberFormat="1" applyFont="1" applyFill="1" applyAlignment="1">
      <alignment wrapText="1"/>
    </xf>
    <xf numFmtId="172" fontId="6" fillId="0" borderId="0" xfId="4" applyNumberFormat="1" applyFont="1" applyFill="1" applyAlignment="1">
      <alignment vertical="center" wrapText="1"/>
    </xf>
    <xf numFmtId="165" fontId="1" fillId="6" borderId="9" xfId="0" applyNumberFormat="1" applyFont="1" applyFill="1" applyBorder="1" applyAlignment="1">
      <alignment horizontal="center" vertical="top" wrapText="1"/>
    </xf>
    <xf numFmtId="0" fontId="7" fillId="0" borderId="0" xfId="0" applyFont="1" applyAlignment="1">
      <alignment wrapText="1"/>
    </xf>
    <xf numFmtId="0" fontId="20" fillId="0" borderId="0" xfId="0" applyFont="1" applyAlignment="1">
      <alignment wrapText="1"/>
    </xf>
    <xf numFmtId="0" fontId="8" fillId="0" borderId="0" xfId="4" applyFont="1" applyFill="1" applyAlignment="1">
      <alignment horizontal="right" wrapText="1"/>
    </xf>
    <xf numFmtId="0" fontId="8" fillId="0" borderId="0" xfId="4" applyNumberFormat="1" applyFont="1" applyFill="1" applyAlignment="1">
      <alignment horizontal="right" wrapText="1"/>
    </xf>
    <xf numFmtId="0" fontId="11" fillId="0" borderId="0" xfId="1" applyNumberFormat="1" applyFont="1" applyAlignment="1">
      <alignment horizontal="center" wrapText="1"/>
    </xf>
    <xf numFmtId="170" fontId="1" fillId="0" borderId="0" xfId="0" applyNumberFormat="1" applyFont="1" applyAlignment="1">
      <alignment wrapText="1"/>
    </xf>
    <xf numFmtId="0" fontId="1" fillId="0" borderId="0" xfId="0" applyFont="1" applyAlignment="1">
      <alignment vertical="center" wrapText="1"/>
    </xf>
    <xf numFmtId="165" fontId="1" fillId="0" borderId="0" xfId="1" applyNumberFormat="1" applyFont="1" applyAlignment="1">
      <alignment horizontal="right" wrapText="1"/>
    </xf>
    <xf numFmtId="0" fontId="11" fillId="0" borderId="0" xfId="1" applyNumberFormat="1" applyFont="1" applyAlignment="1">
      <alignment horizontal="right" wrapText="1"/>
    </xf>
    <xf numFmtId="171" fontId="1" fillId="0" borderId="0" xfId="0" applyNumberFormat="1" applyFont="1" applyAlignment="1">
      <alignment wrapText="1"/>
    </xf>
    <xf numFmtId="172" fontId="1" fillId="0" borderId="0" xfId="0" applyNumberFormat="1" applyFont="1" applyAlignment="1">
      <alignment wrapText="1"/>
    </xf>
    <xf numFmtId="172" fontId="1" fillId="0" borderId="0" xfId="3" applyNumberFormat="1" applyFont="1" applyAlignment="1">
      <alignment wrapText="1"/>
    </xf>
    <xf numFmtId="172" fontId="1" fillId="0" borderId="0" xfId="0" applyNumberFormat="1" applyFont="1" applyAlignment="1">
      <alignment vertical="center" wrapText="1"/>
    </xf>
    <xf numFmtId="0" fontId="8" fillId="0" borderId="0" xfId="0" applyFont="1" applyFill="1" applyAlignment="1">
      <alignment horizontal="right" wrapText="1"/>
    </xf>
    <xf numFmtId="0" fontId="8" fillId="0" borderId="0" xfId="1" applyNumberFormat="1" applyFont="1" applyFill="1" applyAlignment="1">
      <alignment horizontal="right" wrapText="1"/>
    </xf>
    <xf numFmtId="3" fontId="0" fillId="0" borderId="8" xfId="0" applyNumberFormat="1" applyBorder="1" applyAlignment="1">
      <alignment wrapText="1"/>
    </xf>
    <xf numFmtId="164" fontId="0" fillId="0" borderId="8" xfId="0" applyNumberFormat="1" applyBorder="1" applyAlignment="1">
      <alignment wrapText="1"/>
    </xf>
    <xf numFmtId="2" fontId="0" fillId="0" borderId="8" xfId="0" applyNumberFormat="1" applyBorder="1" applyAlignment="1">
      <alignment wrapText="1"/>
    </xf>
    <xf numFmtId="165" fontId="0" fillId="0" borderId="8" xfId="1" applyNumberFormat="1" applyFont="1" applyBorder="1" applyAlignment="1">
      <alignment wrapText="1"/>
    </xf>
    <xf numFmtId="164" fontId="0" fillId="0" borderId="8" xfId="0" applyNumberFormat="1" applyFill="1" applyBorder="1" applyAlignment="1">
      <alignment wrapText="1"/>
    </xf>
    <xf numFmtId="2" fontId="0" fillId="0" borderId="8" xfId="0" applyNumberFormat="1" applyBorder="1" applyAlignment="1">
      <alignment horizontal="right" wrapText="1"/>
    </xf>
    <xf numFmtId="165" fontId="0" fillId="0" borderId="8" xfId="1" applyNumberFormat="1" applyFont="1" applyFill="1" applyBorder="1" applyAlignment="1">
      <alignment wrapText="1"/>
    </xf>
    <xf numFmtId="0" fontId="0" fillId="0" borderId="0" xfId="0" applyBorder="1" applyAlignment="1">
      <alignment horizontal="right" wrapText="1"/>
    </xf>
    <xf numFmtId="0" fontId="11" fillId="0" borderId="1" xfId="0" applyFont="1" applyBorder="1" applyAlignment="1">
      <alignment horizontal="right" wrapText="1"/>
    </xf>
    <xf numFmtId="165" fontId="13" fillId="0" borderId="8" xfId="1" applyNumberFormat="1" applyFont="1" applyFill="1" applyBorder="1" applyAlignment="1">
      <alignment horizontal="center" vertical="top" wrapText="1"/>
    </xf>
    <xf numFmtId="9" fontId="6" fillId="0" borderId="20" xfId="0" applyNumberFormat="1" applyFont="1" applyFill="1" applyBorder="1" applyAlignment="1">
      <alignment horizontal="center" wrapText="1"/>
    </xf>
    <xf numFmtId="172" fontId="1" fillId="0" borderId="19" xfId="3" applyNumberFormat="1" applyFont="1" applyFill="1" applyBorder="1" applyAlignment="1">
      <alignment wrapText="1"/>
    </xf>
    <xf numFmtId="172" fontId="1" fillId="0" borderId="19" xfId="3" applyNumberFormat="1" applyFont="1" applyBorder="1" applyAlignment="1">
      <alignment wrapText="1"/>
    </xf>
    <xf numFmtId="172" fontId="1" fillId="4" borderId="19" xfId="0" applyNumberFormat="1" applyFont="1" applyFill="1" applyBorder="1" applyAlignment="1">
      <alignment wrapText="1"/>
    </xf>
    <xf numFmtId="165" fontId="11" fillId="0" borderId="21" xfId="0" applyNumberFormat="1" applyFont="1" applyBorder="1" applyAlignment="1">
      <alignment vertical="top" wrapText="1"/>
    </xf>
    <xf numFmtId="165" fontId="11" fillId="0" borderId="22" xfId="0" applyNumberFormat="1" applyFont="1" applyBorder="1" applyAlignment="1">
      <alignment vertical="top" wrapText="1"/>
    </xf>
    <xf numFmtId="165" fontId="11" fillId="6" borderId="23" xfId="0" applyNumberFormat="1" applyFont="1" applyFill="1" applyBorder="1" applyAlignment="1">
      <alignment vertical="top" wrapText="1"/>
    </xf>
    <xf numFmtId="0" fontId="11" fillId="0" borderId="24" xfId="0" applyFont="1" applyBorder="1" applyAlignment="1">
      <alignment horizontal="right" wrapText="1"/>
    </xf>
    <xf numFmtId="172" fontId="1" fillId="0" borderId="25" xfId="3" applyNumberFormat="1" applyFont="1" applyBorder="1" applyAlignment="1">
      <alignment wrapText="1"/>
    </xf>
    <xf numFmtId="172" fontId="11" fillId="0" borderId="25" xfId="0" applyNumberFormat="1" applyFont="1" applyBorder="1" applyAlignment="1">
      <alignment wrapText="1"/>
    </xf>
    <xf numFmtId="0" fontId="8" fillId="0" borderId="24" xfId="0" applyFont="1" applyFill="1" applyBorder="1" applyAlignment="1">
      <alignment horizontal="right" wrapText="1"/>
    </xf>
    <xf numFmtId="172" fontId="8" fillId="0" borderId="25" xfId="4" applyNumberFormat="1" applyFont="1" applyFill="1" applyBorder="1" applyAlignment="1">
      <alignment wrapText="1"/>
    </xf>
    <xf numFmtId="0" fontId="8" fillId="0" borderId="24" xfId="4" applyFont="1" applyFill="1" applyBorder="1" applyAlignment="1">
      <alignment horizontal="right" wrapText="1"/>
    </xf>
    <xf numFmtId="0" fontId="0" fillId="0" borderId="0" xfId="0" applyBorder="1"/>
    <xf numFmtId="0" fontId="6" fillId="3" borderId="0" xfId="0" applyFont="1" applyFill="1" applyBorder="1" applyAlignment="1">
      <alignment wrapText="1"/>
    </xf>
    <xf numFmtId="0" fontId="6" fillId="0" borderId="0" xfId="0" applyFont="1" applyFill="1" applyBorder="1"/>
    <xf numFmtId="167" fontId="6" fillId="0" borderId="0" xfId="5" applyNumberFormat="1" applyFont="1" applyFill="1" applyBorder="1"/>
    <xf numFmtId="166" fontId="0" fillId="0" borderId="0" xfId="0" applyNumberFormat="1" applyBorder="1"/>
    <xf numFmtId="44" fontId="0" fillId="0" borderId="0" xfId="3" applyFont="1" applyBorder="1"/>
    <xf numFmtId="167" fontId="0" fillId="0" borderId="0" xfId="5" applyNumberFormat="1" applyFont="1" applyBorder="1"/>
    <xf numFmtId="0" fontId="6" fillId="7" borderId="0" xfId="0" applyFont="1" applyFill="1" applyBorder="1" applyAlignment="1">
      <alignment wrapText="1"/>
    </xf>
    <xf numFmtId="167" fontId="6" fillId="7" borderId="0" xfId="5" applyNumberFormat="1" applyFont="1" applyFill="1" applyBorder="1"/>
    <xf numFmtId="167" fontId="0" fillId="7" borderId="0" xfId="5" applyNumberFormat="1" applyFont="1" applyFill="1" applyBorder="1"/>
    <xf numFmtId="168" fontId="0" fillId="7" borderId="0" xfId="0" applyNumberFormat="1" applyFill="1" applyBorder="1"/>
    <xf numFmtId="0" fontId="6" fillId="0" borderId="0" xfId="0" applyFont="1" applyFill="1" applyBorder="1" applyAlignment="1">
      <alignment wrapText="1"/>
    </xf>
    <xf numFmtId="168" fontId="0" fillId="0" borderId="0" xfId="0" applyNumberFormat="1" applyFill="1" applyBorder="1"/>
    <xf numFmtId="0" fontId="0" fillId="0" borderId="0" xfId="0" applyFill="1" applyBorder="1"/>
    <xf numFmtId="166" fontId="0" fillId="7" borderId="0" xfId="0" applyNumberFormat="1" applyFill="1" applyBorder="1"/>
    <xf numFmtId="44" fontId="0" fillId="7" borderId="0" xfId="3" applyFont="1" applyFill="1" applyBorder="1"/>
    <xf numFmtId="44" fontId="7" fillId="7" borderId="0" xfId="3" applyFont="1" applyFill="1" applyBorder="1"/>
    <xf numFmtId="44" fontId="7" fillId="0" borderId="0" xfId="3" applyFont="1" applyBorder="1"/>
    <xf numFmtId="0" fontId="11" fillId="0" borderId="0" xfId="0" applyFont="1" applyBorder="1"/>
    <xf numFmtId="0" fontId="26" fillId="0" borderId="0" xfId="0" applyFont="1" applyBorder="1" applyAlignment="1">
      <alignment horizontal="left" wrapText="1"/>
    </xf>
    <xf numFmtId="0" fontId="24" fillId="0" borderId="0" xfId="0" applyFont="1" applyAlignment="1">
      <alignment wrapText="1"/>
    </xf>
    <xf numFmtId="0" fontId="10" fillId="0" borderId="0" xfId="0" applyFont="1" applyAlignment="1">
      <alignment wrapText="1"/>
    </xf>
    <xf numFmtId="9" fontId="6" fillId="0" borderId="10" xfId="0" applyNumberFormat="1" applyFont="1" applyBorder="1" applyAlignment="1">
      <alignment horizontal="center" wrapText="1"/>
    </xf>
    <xf numFmtId="9" fontId="6" fillId="0" borderId="11" xfId="0" applyNumberFormat="1" applyFont="1" applyBorder="1" applyAlignment="1">
      <alignment horizontal="center" wrapText="1"/>
    </xf>
    <xf numFmtId="9" fontId="8" fillId="0" borderId="17" xfId="0" applyNumberFormat="1" applyFont="1" applyBorder="1" applyAlignment="1">
      <alignment horizontal="center" wrapText="1"/>
    </xf>
    <xf numFmtId="0" fontId="6" fillId="0" borderId="13" xfId="0" applyFont="1" applyBorder="1" applyAlignment="1">
      <alignment horizontal="center" wrapText="1"/>
    </xf>
    <xf numFmtId="9" fontId="6" fillId="0" borderId="15" xfId="0" applyNumberFormat="1" applyFont="1" applyBorder="1" applyAlignment="1">
      <alignment horizontal="center" wrapText="1"/>
    </xf>
    <xf numFmtId="0" fontId="6" fillId="0" borderId="11" xfId="0" applyFont="1" applyBorder="1" applyAlignment="1">
      <alignment horizontal="center" wrapText="1"/>
    </xf>
    <xf numFmtId="169" fontId="1" fillId="0" borderId="0" xfId="0" applyNumberFormat="1" applyFont="1" applyAlignment="1">
      <alignment wrapText="1"/>
    </xf>
    <xf numFmtId="169" fontId="11" fillId="0" borderId="0" xfId="0" applyNumberFormat="1" applyFont="1" applyAlignment="1">
      <alignment wrapText="1"/>
    </xf>
    <xf numFmtId="0" fontId="14" fillId="0" borderId="0" xfId="0" applyFont="1" applyAlignment="1">
      <alignment wrapText="1"/>
    </xf>
    <xf numFmtId="9" fontId="6" fillId="0" borderId="20" xfId="0" applyNumberFormat="1" applyFont="1" applyBorder="1" applyAlignment="1">
      <alignment horizontal="center" wrapText="1"/>
    </xf>
    <xf numFmtId="171" fontId="1" fillId="0" borderId="7" xfId="0" applyNumberFormat="1" applyFont="1" applyBorder="1" applyAlignment="1">
      <alignment wrapText="1"/>
    </xf>
    <xf numFmtId="171" fontId="1" fillId="0" borderId="0" xfId="0" applyNumberFormat="1" applyFont="1" applyBorder="1" applyAlignment="1">
      <alignment wrapText="1"/>
    </xf>
    <xf numFmtId="171" fontId="1" fillId="0" borderId="27" xfId="0" applyNumberFormat="1" applyFont="1" applyBorder="1" applyAlignment="1">
      <alignment wrapText="1"/>
    </xf>
    <xf numFmtId="171" fontId="1" fillId="0" borderId="14" xfId="0" applyNumberFormat="1" applyFont="1" applyBorder="1" applyAlignment="1">
      <alignment wrapText="1"/>
    </xf>
    <xf numFmtId="171" fontId="1" fillId="0" borderId="28" xfId="0" applyNumberFormat="1" applyFont="1" applyBorder="1" applyAlignment="1">
      <alignment wrapText="1"/>
    </xf>
    <xf numFmtId="173" fontId="26" fillId="0" borderId="0" xfId="1" applyNumberFormat="1" applyFont="1" applyBorder="1"/>
    <xf numFmtId="174" fontId="6" fillId="0" borderId="10" xfId="0" applyNumberFormat="1" applyFont="1" applyBorder="1" applyAlignment="1">
      <alignment horizontal="center" wrapText="1"/>
    </xf>
    <xf numFmtId="0" fontId="11" fillId="0" borderId="0" xfId="0" applyFont="1" applyFill="1" applyBorder="1" applyAlignment="1">
      <alignment horizontal="center" wrapText="1"/>
    </xf>
    <xf numFmtId="0" fontId="11" fillId="0" borderId="0" xfId="0" applyFont="1" applyBorder="1" applyAlignment="1">
      <alignment horizontal="center" wrapText="1"/>
    </xf>
    <xf numFmtId="0" fontId="1" fillId="0" borderId="0" xfId="0" applyFont="1" applyBorder="1"/>
    <xf numFmtId="17" fontId="1" fillId="7" borderId="0" xfId="6" applyNumberFormat="1" applyFill="1"/>
    <xf numFmtId="0" fontId="1" fillId="7" borderId="0" xfId="6" applyFill="1"/>
    <xf numFmtId="165" fontId="0" fillId="7" borderId="0" xfId="7" applyNumberFormat="1" applyFont="1" applyFill="1"/>
    <xf numFmtId="3" fontId="1" fillId="7" borderId="0" xfId="6" applyNumberFormat="1" applyFill="1"/>
    <xf numFmtId="10" fontId="0" fillId="7" borderId="0" xfId="8" applyNumberFormat="1" applyFont="1" applyFill="1"/>
    <xf numFmtId="3" fontId="17" fillId="7" borderId="0" xfId="6" applyNumberFormat="1" applyFont="1" applyFill="1"/>
    <xf numFmtId="17" fontId="1" fillId="8" borderId="0" xfId="6" applyNumberFormat="1" applyFill="1"/>
    <xf numFmtId="0" fontId="1" fillId="8" borderId="0" xfId="6" applyFill="1"/>
    <xf numFmtId="165" fontId="0" fillId="8" borderId="0" xfId="7" applyNumberFormat="1" applyFont="1" applyFill="1"/>
    <xf numFmtId="3" fontId="1" fillId="8" borderId="0" xfId="6" applyNumberFormat="1" applyFill="1"/>
    <xf numFmtId="10" fontId="0" fillId="8" borderId="0" xfId="8" applyNumberFormat="1" applyFont="1" applyFill="1"/>
    <xf numFmtId="3" fontId="17" fillId="8" borderId="0" xfId="6" applyNumberFormat="1" applyFont="1" applyFill="1"/>
    <xf numFmtId="0" fontId="18" fillId="8" borderId="0" xfId="6" applyFont="1" applyFill="1"/>
    <xf numFmtId="0" fontId="18" fillId="0" borderId="0" xfId="6" applyFont="1" applyFill="1"/>
    <xf numFmtId="165" fontId="1" fillId="7" borderId="0" xfId="1" applyNumberFormat="1" applyFont="1" applyFill="1"/>
    <xf numFmtId="165" fontId="1" fillId="8" borderId="0" xfId="1" applyNumberFormat="1" applyFont="1" applyFill="1"/>
    <xf numFmtId="0" fontId="1" fillId="0" borderId="0" xfId="6" applyFill="1"/>
    <xf numFmtId="0" fontId="11" fillId="0" borderId="0" xfId="6" applyFont="1" applyFill="1" applyAlignment="1">
      <alignment wrapText="1"/>
    </xf>
    <xf numFmtId="0" fontId="19" fillId="0" borderId="0" xfId="6" applyFont="1" applyFill="1"/>
    <xf numFmtId="0" fontId="19" fillId="9" borderId="0" xfId="0" applyFont="1" applyFill="1"/>
    <xf numFmtId="0" fontId="12" fillId="10" borderId="0" xfId="6" applyFont="1" applyFill="1"/>
    <xf numFmtId="10" fontId="12" fillId="10" borderId="0" xfId="8" applyNumberFormat="1" applyFont="1" applyFill="1"/>
    <xf numFmtId="0" fontId="10" fillId="10" borderId="0" xfId="6" applyFont="1" applyFill="1" applyAlignment="1">
      <alignment horizontal="right"/>
    </xf>
    <xf numFmtId="165" fontId="10" fillId="10" borderId="0" xfId="7" applyNumberFormat="1" applyFont="1" applyFill="1"/>
    <xf numFmtId="0" fontId="23" fillId="0" borderId="0" xfId="6" applyFont="1" applyAlignment="1">
      <alignment wrapText="1"/>
    </xf>
    <xf numFmtId="0" fontId="25" fillId="0" borderId="0" xfId="0" applyFont="1"/>
    <xf numFmtId="0" fontId="4" fillId="0" borderId="0" xfId="2" applyAlignment="1">
      <alignment horizontal="left" wrapText="1"/>
    </xf>
    <xf numFmtId="0" fontId="22" fillId="0" borderId="0" xfId="0" applyFont="1" applyFill="1" applyAlignment="1">
      <alignment horizontal="left" vertical="top" wrapText="1"/>
    </xf>
    <xf numFmtId="0" fontId="11" fillId="0" borderId="8" xfId="0" applyFont="1" applyBorder="1" applyAlignment="1">
      <alignment horizontal="right" wrapText="1"/>
    </xf>
    <xf numFmtId="0" fontId="11" fillId="0" borderId="18" xfId="0" applyFont="1" applyBorder="1" applyAlignment="1">
      <alignment horizontal="right" wrapText="1"/>
    </xf>
    <xf numFmtId="165" fontId="11" fillId="0" borderId="8" xfId="1" applyNumberFormat="1" applyFont="1" applyBorder="1" applyAlignment="1">
      <alignment horizontal="right" wrapText="1"/>
    </xf>
    <xf numFmtId="165" fontId="11" fillId="0" borderId="18" xfId="1" applyNumberFormat="1" applyFont="1" applyBorder="1" applyAlignment="1">
      <alignment horizontal="right" wrapText="1"/>
    </xf>
    <xf numFmtId="165" fontId="11" fillId="0" borderId="0" xfId="1" applyNumberFormat="1" applyFont="1" applyFill="1" applyBorder="1" applyAlignment="1">
      <alignment horizontal="right" wrapText="1"/>
    </xf>
    <xf numFmtId="165" fontId="11" fillId="0" borderId="1" xfId="1" applyNumberFormat="1" applyFont="1" applyFill="1" applyBorder="1" applyAlignment="1">
      <alignment horizontal="right" wrapText="1"/>
    </xf>
    <xf numFmtId="0" fontId="21" fillId="0" borderId="0" xfId="0" applyFont="1" applyAlignment="1">
      <alignment horizontal="center" wrapText="1"/>
    </xf>
    <xf numFmtId="0" fontId="10" fillId="5" borderId="0" xfId="0" applyFont="1" applyFill="1" applyAlignment="1">
      <alignment horizontal="center" wrapText="1"/>
    </xf>
    <xf numFmtId="0" fontId="10" fillId="4" borderId="16" xfId="0" applyFont="1" applyFill="1" applyBorder="1" applyAlignment="1">
      <alignment horizontal="center" wrapText="1"/>
    </xf>
    <xf numFmtId="0" fontId="10" fillId="4" borderId="0" xfId="0" applyFont="1" applyFill="1" applyAlignment="1">
      <alignment horizontal="center" wrapText="1"/>
    </xf>
    <xf numFmtId="0" fontId="14" fillId="0" borderId="0" xfId="0" applyFont="1" applyAlignment="1">
      <alignment horizontal="center" wrapText="1"/>
    </xf>
    <xf numFmtId="0" fontId="25" fillId="0" borderId="0" xfId="0" applyFont="1" applyBorder="1" applyAlignment="1">
      <alignment horizontal="left" vertical="top" wrapText="1"/>
    </xf>
    <xf numFmtId="0" fontId="11" fillId="5" borderId="0" xfId="0" applyFont="1" applyFill="1" applyBorder="1" applyAlignment="1">
      <alignment horizontal="center" wrapText="1"/>
    </xf>
    <xf numFmtId="0" fontId="11" fillId="4" borderId="0" xfId="0" applyFont="1" applyFill="1" applyBorder="1" applyAlignment="1">
      <alignment horizontal="center" wrapText="1"/>
    </xf>
    <xf numFmtId="0" fontId="24" fillId="0" borderId="26" xfId="0" applyFont="1" applyBorder="1" applyAlignment="1">
      <alignment horizontal="left" vertical="top" wrapText="1"/>
    </xf>
    <xf numFmtId="0" fontId="14" fillId="0" borderId="3" xfId="0" applyFont="1" applyBorder="1" applyAlignment="1">
      <alignment horizontal="center" wrapText="1"/>
    </xf>
    <xf numFmtId="0" fontId="11" fillId="0" borderId="1" xfId="0" applyFont="1" applyBorder="1" applyAlignment="1">
      <alignment horizontal="left" wrapText="1"/>
    </xf>
    <xf numFmtId="0" fontId="14" fillId="0" borderId="0" xfId="0" applyFont="1" applyBorder="1" applyAlignment="1">
      <alignment horizontal="center" wrapText="1"/>
    </xf>
    <xf numFmtId="0" fontId="10" fillId="5" borderId="0" xfId="0" applyFont="1" applyFill="1" applyBorder="1" applyAlignment="1">
      <alignment horizontal="center" wrapText="1"/>
    </xf>
    <xf numFmtId="0" fontId="10" fillId="4" borderId="0" xfId="0" applyFont="1" applyFill="1" applyBorder="1" applyAlignment="1">
      <alignment horizontal="center" wrapText="1"/>
    </xf>
    <xf numFmtId="0" fontId="0" fillId="0" borderId="0" xfId="7" applyNumberFormat="1" applyFont="1" applyAlignment="1">
      <alignment horizontal="left" vertical="top" wrapText="1"/>
    </xf>
    <xf numFmtId="0" fontId="1" fillId="0" borderId="0" xfId="6" applyAlignment="1">
      <alignment horizontal="left" vertical="top" wrapText="1"/>
    </xf>
    <xf numFmtId="0" fontId="18" fillId="0" borderId="0" xfId="6" applyFont="1" applyFill="1" applyAlignment="1">
      <alignment horizontal="left" vertical="top" wrapText="1"/>
    </xf>
  </cellXfs>
  <cellStyles count="9">
    <cellStyle name="Bad" xfId="4" builtinId="27"/>
    <cellStyle name="Comma" xfId="1" builtinId="3"/>
    <cellStyle name="Comma 2" xfId="7" xr:uid="{D60B1353-AF68-5840-A0DC-2E0CC0AD3DF9}"/>
    <cellStyle name="Currency" xfId="3" builtinId="4"/>
    <cellStyle name="Currency 2 2" xfId="5" xr:uid="{D7D48271-0E4E-614B-AE77-B6093862820C}"/>
    <cellStyle name="Hyperlink" xfId="2" builtinId="8"/>
    <cellStyle name="Normal" xfId="0" builtinId="0"/>
    <cellStyle name="Normal 2" xfId="6" xr:uid="{2E2B24D6-3896-F64E-B65A-DDA7C3DCFDA8}"/>
    <cellStyle name="Percent 2" xfId="8" xr:uid="{35BE21AD-3A5B-1B41-BADD-74C016E4A6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www.nexteraenergyresources.com/news/contents/2016/120816.shtml" TargetMode="External"/><Relationship Id="rId3" Type="http://schemas.openxmlformats.org/officeDocument/2006/relationships/hyperlink" Target="https://www.energy.gov/lpo/genesis" TargetMode="External"/><Relationship Id="rId7" Type="http://schemas.openxmlformats.org/officeDocument/2006/relationships/hyperlink" Target="https://www.edf-re.com/commissioning-event-celebrates-operation-179-megawatt-switch-station-1-switch-station-2-solar-projects-apex-nevada/?wpisrc=nl_energy202&amp;wpmm=1" TargetMode="External"/><Relationship Id="rId2" Type="http://schemas.openxmlformats.org/officeDocument/2006/relationships/hyperlink" Target="http://www.firstsolar.com/Resources/Projects/Desert-Sunlight-Solar-Farm" TargetMode="External"/><Relationship Id="rId1" Type="http://schemas.openxmlformats.org/officeDocument/2006/relationships/hyperlink" Target="https://www.power-technology.com/projects/silver-state-north-solar-project-nevada/" TargetMode="External"/><Relationship Id="rId6" Type="http://schemas.openxmlformats.org/officeDocument/2006/relationships/hyperlink" Target="http://www.nexteraenergyresources.com/news/contents/2016/120816.shtml" TargetMode="External"/><Relationship Id="rId5" Type="http://schemas.openxmlformats.org/officeDocument/2006/relationships/hyperlink" Target="https://www.smobserved.com/story/2016/11/22/business/solar-energy-centers-commissioned-for-southern-ca/2233.html" TargetMode="External"/><Relationship Id="rId10" Type="http://schemas.openxmlformats.org/officeDocument/2006/relationships/printerSettings" Target="../printerSettings/printerSettings1.bin"/><Relationship Id="rId4" Type="http://schemas.openxmlformats.org/officeDocument/2006/relationships/hyperlink" Target="https://www.energy.gov/lpo/ivanpah" TargetMode="External"/><Relationship Id="rId9" Type="http://schemas.openxmlformats.org/officeDocument/2006/relationships/hyperlink" Target="https://eplanning.blm.gov/epl-front-office/projects/nepa/69990/140357/172988/sweetwater_solar_EA_appendic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6E331-E86B-0B46-8309-A0EA29A3535D}">
  <dimension ref="A2:B6"/>
  <sheetViews>
    <sheetView tabSelected="1" workbookViewId="0">
      <selection activeCell="B12" sqref="B12"/>
    </sheetView>
  </sheetViews>
  <sheetFormatPr defaultColWidth="10.90625" defaultRowHeight="14.5"/>
  <cols>
    <col min="1" max="1" width="40" customWidth="1"/>
    <col min="2" max="2" width="98.6328125" customWidth="1"/>
  </cols>
  <sheetData>
    <row r="2" spans="1:2">
      <c r="A2" s="184" t="s">
        <v>102</v>
      </c>
    </row>
    <row r="3" spans="1:2" ht="33" customHeight="1">
      <c r="A3" t="s">
        <v>100</v>
      </c>
      <c r="B3" s="1" t="s">
        <v>98</v>
      </c>
    </row>
    <row r="4" spans="1:2" ht="33" customHeight="1">
      <c r="A4" t="s">
        <v>92</v>
      </c>
      <c r="B4" s="1" t="s">
        <v>99</v>
      </c>
    </row>
    <row r="5" spans="1:2" ht="33" customHeight="1">
      <c r="A5" t="s">
        <v>91</v>
      </c>
      <c r="B5" s="1" t="s">
        <v>101</v>
      </c>
    </row>
    <row r="6" spans="1:2" ht="46" customHeight="1">
      <c r="A6" t="s">
        <v>90</v>
      </c>
      <c r="B6" s="1" t="s">
        <v>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2B20D-CEB6-C643-946C-F4EBF0C146AA}">
  <dimension ref="A2:H21"/>
  <sheetViews>
    <sheetView showGridLines="0" zoomScale="70" zoomScaleNormal="70" workbookViewId="0">
      <selection activeCell="H17" sqref="H17"/>
    </sheetView>
  </sheetViews>
  <sheetFormatPr defaultColWidth="17.453125" defaultRowHeight="14.5"/>
  <cols>
    <col min="1" max="1" width="22.6328125" style="1" customWidth="1"/>
    <col min="2" max="2" width="19.1796875" style="1" customWidth="1"/>
    <col min="3" max="4" width="11.81640625" style="1" customWidth="1"/>
    <col min="5" max="6" width="19.1796875" style="2" customWidth="1"/>
    <col min="7" max="7" width="18.81640625" style="2" customWidth="1"/>
    <col min="8" max="8" width="71" style="2" customWidth="1"/>
    <col min="9" max="16384" width="17.453125" style="1"/>
  </cols>
  <sheetData>
    <row r="2" spans="1:8" ht="21" customHeight="1">
      <c r="A2" s="101"/>
      <c r="B2" s="187" t="s">
        <v>95</v>
      </c>
      <c r="C2" s="187" t="s">
        <v>37</v>
      </c>
      <c r="D2" s="187" t="s">
        <v>38</v>
      </c>
      <c r="E2" s="189" t="s">
        <v>34</v>
      </c>
      <c r="F2" s="191" t="s">
        <v>96</v>
      </c>
    </row>
    <row r="3" spans="1:8" ht="42" customHeight="1">
      <c r="A3" s="102" t="s">
        <v>36</v>
      </c>
      <c r="B3" s="188"/>
      <c r="C3" s="188"/>
      <c r="D3" s="188"/>
      <c r="E3" s="190"/>
      <c r="F3" s="192"/>
      <c r="G3" s="193" t="s">
        <v>73</v>
      </c>
      <c r="H3" s="193"/>
    </row>
    <row r="4" spans="1:8">
      <c r="A4" s="11" t="s">
        <v>1</v>
      </c>
      <c r="B4" s="94">
        <v>42000</v>
      </c>
      <c r="C4" s="95">
        <v>40909</v>
      </c>
      <c r="D4" s="96">
        <v>7.9166666666666599</v>
      </c>
      <c r="E4" s="97">
        <f t="shared" ref="E4:E14" si="0">(B4*D4)</f>
        <v>332499.99999999971</v>
      </c>
      <c r="F4" s="10">
        <f>(E4/4.71)</f>
        <v>70594.479830148557</v>
      </c>
      <c r="G4" s="4" t="s">
        <v>11</v>
      </c>
      <c r="H4" s="10"/>
    </row>
    <row r="5" spans="1:8">
      <c r="A5" s="11" t="s">
        <v>2</v>
      </c>
      <c r="B5" s="94">
        <v>300000</v>
      </c>
      <c r="C5" s="95">
        <v>41579</v>
      </c>
      <c r="D5" s="96">
        <v>6.0833333333333304</v>
      </c>
      <c r="E5" s="97">
        <f t="shared" si="0"/>
        <v>1824999.9999999991</v>
      </c>
      <c r="F5" s="10">
        <f t="shared" ref="F5:F14" si="1">(E5/4.71)</f>
        <v>387473.46072186815</v>
      </c>
      <c r="G5" s="4" t="s">
        <v>12</v>
      </c>
      <c r="H5" s="10"/>
    </row>
    <row r="6" spans="1:8">
      <c r="A6" s="11" t="s">
        <v>3</v>
      </c>
      <c r="B6" s="94">
        <v>322000</v>
      </c>
      <c r="C6" s="95">
        <v>41579</v>
      </c>
      <c r="D6" s="96">
        <v>6.0833333333333304</v>
      </c>
      <c r="E6" s="97">
        <f t="shared" si="0"/>
        <v>1958833.3333333323</v>
      </c>
      <c r="F6" s="10">
        <f t="shared" si="1"/>
        <v>415888.18117480516</v>
      </c>
      <c r="G6" s="4" t="s">
        <v>13</v>
      </c>
      <c r="H6" s="10"/>
    </row>
    <row r="7" spans="1:8">
      <c r="A7" s="11" t="s">
        <v>4</v>
      </c>
      <c r="B7" s="94">
        <v>500000</v>
      </c>
      <c r="C7" s="95">
        <v>41609</v>
      </c>
      <c r="D7" s="96">
        <v>6</v>
      </c>
      <c r="E7" s="97">
        <f t="shared" si="0"/>
        <v>3000000</v>
      </c>
      <c r="F7" s="10">
        <f t="shared" si="1"/>
        <v>636942.67515923572</v>
      </c>
      <c r="G7" s="4" t="s">
        <v>14</v>
      </c>
      <c r="H7" s="10"/>
    </row>
    <row r="8" spans="1:8">
      <c r="A8" s="11" t="s">
        <v>94</v>
      </c>
      <c r="B8" s="94">
        <v>290000</v>
      </c>
      <c r="C8" s="98">
        <v>42278</v>
      </c>
      <c r="D8" s="99" t="s">
        <v>35</v>
      </c>
      <c r="E8" s="100">
        <f>'7.4 Crescent Dunes'!H52</f>
        <v>242789.26330363803</v>
      </c>
      <c r="F8" s="10">
        <f t="shared" si="1"/>
        <v>51547.614289519748</v>
      </c>
      <c r="G8" t="s">
        <v>104</v>
      </c>
      <c r="H8" s="10"/>
    </row>
    <row r="9" spans="1:8">
      <c r="A9" s="11" t="s">
        <v>6</v>
      </c>
      <c r="B9" s="94">
        <v>150000</v>
      </c>
      <c r="C9" s="95">
        <v>42614</v>
      </c>
      <c r="D9" s="96">
        <v>3.25</v>
      </c>
      <c r="E9" s="97">
        <f t="shared" si="0"/>
        <v>487500</v>
      </c>
      <c r="F9" s="10">
        <f t="shared" si="1"/>
        <v>103503.1847133758</v>
      </c>
      <c r="G9" s="4" t="s">
        <v>15</v>
      </c>
      <c r="H9" s="10"/>
    </row>
    <row r="10" spans="1:8">
      <c r="A10" s="11" t="s">
        <v>10</v>
      </c>
      <c r="B10" s="94">
        <v>774000</v>
      </c>
      <c r="C10" s="95">
        <v>42684</v>
      </c>
      <c r="D10" s="96">
        <v>3.0833333333333299</v>
      </c>
      <c r="E10" s="97">
        <f t="shared" si="0"/>
        <v>2386499.9999999972</v>
      </c>
      <c r="F10" s="10">
        <f t="shared" si="1"/>
        <v>506687.89808917139</v>
      </c>
      <c r="G10" s="4" t="s">
        <v>16</v>
      </c>
      <c r="H10" s="10"/>
    </row>
    <row r="11" spans="1:8">
      <c r="A11" s="11" t="s">
        <v>7</v>
      </c>
      <c r="B11" s="94">
        <v>150000</v>
      </c>
      <c r="C11" s="95">
        <v>42705</v>
      </c>
      <c r="D11" s="96">
        <v>3</v>
      </c>
      <c r="E11" s="97">
        <f t="shared" si="0"/>
        <v>450000</v>
      </c>
      <c r="F11" s="10">
        <f t="shared" si="1"/>
        <v>95541.401273885349</v>
      </c>
      <c r="G11" s="4" t="s">
        <v>15</v>
      </c>
      <c r="H11" s="10"/>
    </row>
    <row r="12" spans="1:8">
      <c r="A12" s="11" t="s">
        <v>8</v>
      </c>
      <c r="B12" s="94">
        <v>52843</v>
      </c>
      <c r="C12" s="95">
        <v>42826</v>
      </c>
      <c r="D12" s="96">
        <v>2.6666666666666599</v>
      </c>
      <c r="E12" s="97">
        <f t="shared" si="0"/>
        <v>140914.66666666631</v>
      </c>
      <c r="F12" s="10">
        <f t="shared" si="1"/>
        <v>29918.188251946136</v>
      </c>
      <c r="G12" t="s">
        <v>17</v>
      </c>
      <c r="H12" s="10"/>
    </row>
    <row r="13" spans="1:8">
      <c r="A13" s="11" t="s">
        <v>27</v>
      </c>
      <c r="B13" s="94">
        <v>44000</v>
      </c>
      <c r="C13" s="95">
        <v>43514</v>
      </c>
      <c r="D13" s="96">
        <v>0.875</v>
      </c>
      <c r="E13" s="97">
        <f t="shared" si="0"/>
        <v>38500</v>
      </c>
      <c r="F13" s="10">
        <f t="shared" si="1"/>
        <v>8174.0976645435248</v>
      </c>
      <c r="G13" s="4" t="s">
        <v>39</v>
      </c>
      <c r="H13" s="10"/>
    </row>
    <row r="14" spans="1:8" ht="16" customHeight="1">
      <c r="A14" s="11" t="s">
        <v>49</v>
      </c>
      <c r="B14" s="94">
        <v>265000</v>
      </c>
      <c r="C14" s="95">
        <v>43070</v>
      </c>
      <c r="D14" s="96">
        <v>2</v>
      </c>
      <c r="E14" s="97">
        <f t="shared" si="0"/>
        <v>530000</v>
      </c>
      <c r="F14" s="2">
        <f t="shared" si="1"/>
        <v>112526.53927813163</v>
      </c>
      <c r="G14" s="185" t="s">
        <v>18</v>
      </c>
      <c r="H14" s="185"/>
    </row>
    <row r="15" spans="1:8">
      <c r="E15" s="6">
        <f>SUM(E4:E14)</f>
        <v>11392537.263303632</v>
      </c>
      <c r="F15" s="6">
        <f>SUM(F4:F14)</f>
        <v>2418797.7204466308</v>
      </c>
      <c r="G15" s="6"/>
      <c r="H15" s="6"/>
    </row>
    <row r="16" spans="1:8" ht="47" customHeight="1">
      <c r="A16" s="186" t="s">
        <v>97</v>
      </c>
      <c r="B16" s="186"/>
      <c r="C16" s="186"/>
      <c r="D16" s="186"/>
      <c r="E16" s="186"/>
      <c r="F16" s="186"/>
    </row>
    <row r="17" spans="1:6" ht="19" customHeight="1">
      <c r="A17" s="186"/>
      <c r="B17" s="186"/>
      <c r="C17" s="186"/>
      <c r="D17" s="186"/>
      <c r="E17" s="186"/>
      <c r="F17" s="186"/>
    </row>
    <row r="18" spans="1:6" ht="33" customHeight="1">
      <c r="A18" s="186"/>
      <c r="B18" s="186"/>
      <c r="C18" s="186"/>
      <c r="D18" s="186"/>
      <c r="E18" s="186"/>
      <c r="F18" s="186"/>
    </row>
    <row r="19" spans="1:6">
      <c r="A19" s="186"/>
      <c r="B19" s="186"/>
      <c r="C19" s="186"/>
      <c r="D19" s="186"/>
      <c r="E19" s="186"/>
      <c r="F19" s="186"/>
    </row>
    <row r="20" spans="1:6">
      <c r="A20" s="186"/>
      <c r="B20" s="186"/>
      <c r="C20" s="186"/>
      <c r="D20" s="186"/>
      <c r="E20" s="186"/>
      <c r="F20" s="186"/>
    </row>
    <row r="21" spans="1:6">
      <c r="A21" s="186"/>
      <c r="B21" s="186"/>
      <c r="C21" s="186"/>
      <c r="D21" s="186"/>
      <c r="E21" s="186"/>
      <c r="F21" s="186"/>
    </row>
  </sheetData>
  <mergeCells count="8">
    <mergeCell ref="G14:H14"/>
    <mergeCell ref="A16:F21"/>
    <mergeCell ref="B2:B3"/>
    <mergeCell ref="C2:C3"/>
    <mergeCell ref="D2:D3"/>
    <mergeCell ref="E2:E3"/>
    <mergeCell ref="F2:F3"/>
    <mergeCell ref="G3:H3"/>
  </mergeCells>
  <hyperlinks>
    <hyperlink ref="G4" r:id="rId1" xr:uid="{DC1224D9-A37F-C146-8760-F9C5D2FAE2AB}"/>
    <hyperlink ref="G5" r:id="rId2" xr:uid="{DF67C461-F7AA-DE4F-B603-9DFC6C171F17}"/>
    <hyperlink ref="G6" r:id="rId3" xr:uid="{DE4FB5B8-5950-8747-8A37-050A909CB066}"/>
    <hyperlink ref="G7" r:id="rId4" xr:uid="{DB51181F-0C6A-194E-AFA0-65BB7DC39BE7}"/>
    <hyperlink ref="G10" r:id="rId5" xr:uid="{C7E10D56-A604-1B43-9206-3C524C61F530}"/>
    <hyperlink ref="G11" r:id="rId6" xr:uid="{F1BD820F-1724-0840-A5C4-1FBF003F4C0B}"/>
    <hyperlink ref="G14" r:id="rId7" xr:uid="{5B0E2086-303C-7E4C-A7EC-41F608BABCE6}"/>
    <hyperlink ref="G9" r:id="rId8" xr:uid="{954F659D-48C9-F54E-945B-010F0A75EE0C}"/>
    <hyperlink ref="G13" r:id="rId9" xr:uid="{74152EAB-0238-CD48-8B71-CF4C29831F1A}"/>
  </hyperlinks>
  <pageMargins left="0.7" right="0.7" top="0.75" bottom="0.75" header="0.3" footer="0.3"/>
  <pageSetup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2B42F-F95B-974D-B7D9-E4A610C7822B}">
  <dimension ref="A2:W57"/>
  <sheetViews>
    <sheetView zoomScale="60" zoomScaleNormal="60" workbookViewId="0">
      <selection activeCell="G16" sqref="G16"/>
    </sheetView>
  </sheetViews>
  <sheetFormatPr defaultColWidth="10.81640625" defaultRowHeight="15.5"/>
  <cols>
    <col min="1" max="6" width="10.81640625" style="117"/>
    <col min="7" max="8" width="10.81640625" style="130"/>
    <col min="9" max="14" width="10.81640625" style="117"/>
    <col min="15" max="15" width="10.81640625" style="135"/>
    <col min="16" max="16" width="10.81640625" style="117"/>
    <col min="17" max="21" width="18" style="117" customWidth="1"/>
    <col min="22" max="16384" width="10.81640625" style="117"/>
  </cols>
  <sheetData>
    <row r="2" spans="1:23" s="1" customFormat="1" ht="45" customHeight="1">
      <c r="C2" s="197" t="s">
        <v>74</v>
      </c>
      <c r="D2" s="197"/>
      <c r="E2" s="197"/>
      <c r="F2" s="197"/>
      <c r="G2" s="197"/>
      <c r="H2" s="197"/>
      <c r="I2" s="197"/>
      <c r="J2" s="197"/>
      <c r="K2" s="197"/>
      <c r="L2" s="197"/>
      <c r="M2" s="197"/>
      <c r="N2" s="147"/>
      <c r="P2" s="13"/>
      <c r="Q2" s="13"/>
      <c r="R2" s="13"/>
      <c r="S2" s="13"/>
      <c r="T2" s="13"/>
      <c r="U2" s="13"/>
      <c r="V2" s="13"/>
      <c r="W2" s="13"/>
    </row>
    <row r="3" spans="1:23" s="1" customFormat="1" ht="25" customHeight="1">
      <c r="A3" s="137"/>
      <c r="C3" s="21"/>
      <c r="D3" s="194" t="s">
        <v>41</v>
      </c>
      <c r="E3" s="194"/>
      <c r="F3" s="194"/>
      <c r="G3" s="194"/>
      <c r="H3" s="194"/>
      <c r="I3" s="195" t="s">
        <v>42</v>
      </c>
      <c r="J3" s="196"/>
      <c r="K3" s="196"/>
      <c r="L3" s="196"/>
      <c r="M3" s="196"/>
      <c r="N3" s="138"/>
    </row>
    <row r="4" spans="1:23" s="1" customFormat="1" ht="31">
      <c r="A4" s="137"/>
      <c r="C4" s="53"/>
      <c r="D4" s="139">
        <v>7.0000000000000007E-2</v>
      </c>
      <c r="E4" s="140">
        <v>0.05</v>
      </c>
      <c r="F4" s="141">
        <v>0.03</v>
      </c>
      <c r="G4" s="155">
        <v>2.5000000000000001E-2</v>
      </c>
      <c r="H4" s="142" t="s">
        <v>25</v>
      </c>
      <c r="I4" s="143">
        <v>7.0000000000000007E-2</v>
      </c>
      <c r="J4" s="140">
        <v>0.05</v>
      </c>
      <c r="K4" s="148">
        <v>0.03</v>
      </c>
      <c r="L4" s="155">
        <v>2.5000000000000001E-2</v>
      </c>
      <c r="M4" s="144" t="s">
        <v>25</v>
      </c>
    </row>
    <row r="5" spans="1:23" s="1" customFormat="1">
      <c r="A5" s="137"/>
      <c r="C5" s="72">
        <v>2012</v>
      </c>
      <c r="D5" s="149">
        <f>F28*$O$35</f>
        <v>8.8703999999999983</v>
      </c>
      <c r="E5" s="150">
        <f>B28*$O$35</f>
        <v>13.552</v>
      </c>
      <c r="F5" s="153">
        <f>C28*$O$35</f>
        <v>40.655999999999999</v>
      </c>
      <c r="G5" s="149">
        <f>D28*$O$35</f>
        <v>65.295999999999992</v>
      </c>
      <c r="H5" s="150">
        <f>E28*$O$35</f>
        <v>114.57599999999999</v>
      </c>
      <c r="I5" s="151">
        <f>D5*0.1</f>
        <v>0.88703999999999983</v>
      </c>
      <c r="J5" s="149">
        <f t="shared" ref="J5:M12" si="0">E5*0.1</f>
        <v>1.3552</v>
      </c>
      <c r="K5" s="149">
        <f t="shared" si="0"/>
        <v>4.0655999999999999</v>
      </c>
      <c r="L5" s="149">
        <f t="shared" si="0"/>
        <v>6.5295999999999994</v>
      </c>
      <c r="M5" s="149">
        <f t="shared" si="0"/>
        <v>11.457599999999999</v>
      </c>
    </row>
    <row r="6" spans="1:23" s="1" customFormat="1">
      <c r="C6" s="72">
        <v>2013</v>
      </c>
      <c r="D6" s="149">
        <f t="shared" ref="D6:D12" si="1">F29*$O$35</f>
        <v>9.24</v>
      </c>
      <c r="E6" s="150">
        <f t="shared" ref="E6:E12" si="2">B29*$O$35</f>
        <v>13.552</v>
      </c>
      <c r="F6" s="153">
        <f t="shared" ref="F6:F12" si="3">C29*$O$35</f>
        <v>41.887999999999998</v>
      </c>
      <c r="G6" s="149">
        <f t="shared" ref="G6:G12" si="4">D29*$O$35</f>
        <v>66.528000000000006</v>
      </c>
      <c r="H6" s="150">
        <f t="shared" ref="H6:H12" si="5">E29*$O$35</f>
        <v>121.968</v>
      </c>
      <c r="I6" s="152">
        <f t="shared" ref="I6:I12" si="6">D6*0.1</f>
        <v>0.92400000000000004</v>
      </c>
      <c r="J6" s="149">
        <f t="shared" si="0"/>
        <v>1.3552</v>
      </c>
      <c r="K6" s="149">
        <f t="shared" si="0"/>
        <v>4.1887999999999996</v>
      </c>
      <c r="L6" s="149">
        <f t="shared" si="0"/>
        <v>6.6528000000000009</v>
      </c>
      <c r="M6" s="149">
        <f t="shared" si="0"/>
        <v>12.196800000000001</v>
      </c>
    </row>
    <row r="7" spans="1:23" s="1" customFormat="1">
      <c r="C7" s="72">
        <v>2014</v>
      </c>
      <c r="D7" s="149">
        <f t="shared" si="1"/>
        <v>9.6096000000000004</v>
      </c>
      <c r="E7" s="150">
        <f t="shared" si="2"/>
        <v>13.552</v>
      </c>
      <c r="F7" s="153">
        <f t="shared" si="3"/>
        <v>43.12</v>
      </c>
      <c r="G7" s="149">
        <f t="shared" si="4"/>
        <v>67.760000000000005</v>
      </c>
      <c r="H7" s="150">
        <f t="shared" si="5"/>
        <v>126.896</v>
      </c>
      <c r="I7" s="152">
        <f t="shared" si="6"/>
        <v>0.96096000000000004</v>
      </c>
      <c r="J7" s="149">
        <f t="shared" si="0"/>
        <v>1.3552</v>
      </c>
      <c r="K7" s="149">
        <f t="shared" si="0"/>
        <v>4.3120000000000003</v>
      </c>
      <c r="L7" s="149">
        <f t="shared" si="0"/>
        <v>6.7760000000000007</v>
      </c>
      <c r="M7" s="149">
        <f t="shared" si="0"/>
        <v>12.6896</v>
      </c>
    </row>
    <row r="8" spans="1:23" s="1" customFormat="1">
      <c r="C8" s="72">
        <v>2015</v>
      </c>
      <c r="D8" s="149">
        <f t="shared" si="1"/>
        <v>9.9792000000000023</v>
      </c>
      <c r="E8" s="150">
        <f t="shared" si="2"/>
        <v>13.552</v>
      </c>
      <c r="F8" s="153">
        <f t="shared" si="3"/>
        <v>44.351999999999997</v>
      </c>
      <c r="G8" s="149">
        <f t="shared" si="4"/>
        <v>68.992000000000004</v>
      </c>
      <c r="H8" s="150">
        <f t="shared" si="5"/>
        <v>129.35999999999999</v>
      </c>
      <c r="I8" s="152">
        <f t="shared" si="6"/>
        <v>0.99792000000000025</v>
      </c>
      <c r="J8" s="149">
        <f t="shared" si="0"/>
        <v>1.3552</v>
      </c>
      <c r="K8" s="149">
        <f t="shared" si="0"/>
        <v>4.4352</v>
      </c>
      <c r="L8" s="149">
        <f t="shared" si="0"/>
        <v>6.8992000000000004</v>
      </c>
      <c r="M8" s="149">
        <f t="shared" si="0"/>
        <v>12.936</v>
      </c>
    </row>
    <row r="9" spans="1:23" s="1" customFormat="1">
      <c r="C9" s="72">
        <v>2016</v>
      </c>
      <c r="D9" s="149">
        <f t="shared" si="1"/>
        <v>10.348800000000001</v>
      </c>
      <c r="E9" s="150">
        <f t="shared" si="2"/>
        <v>13.552</v>
      </c>
      <c r="F9" s="153">
        <f t="shared" si="3"/>
        <v>46.816000000000003</v>
      </c>
      <c r="G9" s="149">
        <f t="shared" si="4"/>
        <v>70.224000000000004</v>
      </c>
      <c r="H9" s="150">
        <f t="shared" si="5"/>
        <v>133.05600000000001</v>
      </c>
      <c r="I9" s="152">
        <f t="shared" si="6"/>
        <v>1.03488</v>
      </c>
      <c r="J9" s="149">
        <f t="shared" si="0"/>
        <v>1.3552</v>
      </c>
      <c r="K9" s="149">
        <f t="shared" si="0"/>
        <v>4.6816000000000004</v>
      </c>
      <c r="L9" s="149">
        <f t="shared" si="0"/>
        <v>7.0224000000000011</v>
      </c>
      <c r="M9" s="149">
        <f t="shared" si="0"/>
        <v>13.305600000000002</v>
      </c>
    </row>
    <row r="10" spans="1:23" s="1" customFormat="1">
      <c r="C10" s="72">
        <v>2017</v>
      </c>
      <c r="D10" s="149">
        <f t="shared" si="1"/>
        <v>10.718399999999999</v>
      </c>
      <c r="E10" s="150">
        <f t="shared" si="2"/>
        <v>13.552</v>
      </c>
      <c r="F10" s="153">
        <f t="shared" si="3"/>
        <v>48.048000000000002</v>
      </c>
      <c r="G10" s="149">
        <f t="shared" si="4"/>
        <v>72.688000000000002</v>
      </c>
      <c r="H10" s="150">
        <f t="shared" si="5"/>
        <v>137.98400000000001</v>
      </c>
      <c r="I10" s="152">
        <f t="shared" si="6"/>
        <v>1.0718399999999999</v>
      </c>
      <c r="J10" s="149">
        <f t="shared" si="0"/>
        <v>1.3552</v>
      </c>
      <c r="K10" s="149">
        <f t="shared" si="0"/>
        <v>4.8048000000000002</v>
      </c>
      <c r="L10" s="149">
        <f t="shared" si="0"/>
        <v>7.2688000000000006</v>
      </c>
      <c r="M10" s="149">
        <f t="shared" si="0"/>
        <v>13.798400000000001</v>
      </c>
    </row>
    <row r="11" spans="1:23" s="1" customFormat="1">
      <c r="C11" s="72">
        <v>2018</v>
      </c>
      <c r="D11" s="149">
        <f t="shared" si="1"/>
        <v>11.087999999999999</v>
      </c>
      <c r="E11" s="150">
        <f t="shared" si="2"/>
        <v>14.783999999999999</v>
      </c>
      <c r="F11" s="153">
        <f t="shared" si="3"/>
        <v>49.28</v>
      </c>
      <c r="G11" s="149">
        <f t="shared" si="4"/>
        <v>73.92</v>
      </c>
      <c r="H11" s="150">
        <f t="shared" si="5"/>
        <v>142.91200000000001</v>
      </c>
      <c r="I11" s="152">
        <f t="shared" si="6"/>
        <v>1.1088</v>
      </c>
      <c r="J11" s="149">
        <f t="shared" si="0"/>
        <v>1.4783999999999999</v>
      </c>
      <c r="K11" s="149">
        <f t="shared" si="0"/>
        <v>4.9280000000000008</v>
      </c>
      <c r="L11" s="149">
        <f t="shared" si="0"/>
        <v>7.3920000000000003</v>
      </c>
      <c r="M11" s="149">
        <f t="shared" si="0"/>
        <v>14.291200000000002</v>
      </c>
    </row>
    <row r="12" spans="1:23" s="1" customFormat="1">
      <c r="C12" s="72">
        <v>2019</v>
      </c>
      <c r="D12" s="149">
        <f t="shared" si="1"/>
        <v>11.457600000000001</v>
      </c>
      <c r="E12" s="150">
        <f t="shared" si="2"/>
        <v>14.783999999999999</v>
      </c>
      <c r="F12" s="153">
        <f t="shared" si="3"/>
        <v>50.512</v>
      </c>
      <c r="G12" s="149">
        <f t="shared" si="4"/>
        <v>75.152000000000001</v>
      </c>
      <c r="H12" s="150">
        <f t="shared" si="5"/>
        <v>147.84</v>
      </c>
      <c r="I12" s="152">
        <f t="shared" si="6"/>
        <v>1.1457600000000001</v>
      </c>
      <c r="J12" s="149">
        <f t="shared" si="0"/>
        <v>1.4783999999999999</v>
      </c>
      <c r="K12" s="149">
        <f t="shared" si="0"/>
        <v>5.0512000000000006</v>
      </c>
      <c r="L12" s="149">
        <f t="shared" si="0"/>
        <v>7.5152000000000001</v>
      </c>
      <c r="M12" s="149">
        <f t="shared" si="0"/>
        <v>14.784000000000001</v>
      </c>
    </row>
    <row r="13" spans="1:23" s="1" customFormat="1">
      <c r="C13" s="33"/>
      <c r="D13" s="145"/>
      <c r="E13" s="145"/>
      <c r="F13" s="146"/>
      <c r="G13" s="145"/>
      <c r="H13" s="145"/>
      <c r="I13" s="145"/>
      <c r="J13" s="145"/>
      <c r="K13" s="145"/>
      <c r="L13" s="146"/>
      <c r="M13" s="145"/>
      <c r="N13" s="14"/>
    </row>
    <row r="19" spans="1:21" ht="60" customHeight="1">
      <c r="B19" s="199" t="s">
        <v>56</v>
      </c>
      <c r="C19" s="199"/>
      <c r="D19" s="199"/>
      <c r="E19" s="199"/>
      <c r="F19" s="199"/>
      <c r="G19" s="156"/>
      <c r="H19" s="156"/>
      <c r="I19" s="200" t="s">
        <v>75</v>
      </c>
      <c r="J19" s="200"/>
      <c r="K19" s="200"/>
      <c r="L19" s="200"/>
      <c r="M19" s="200"/>
      <c r="N19" s="157"/>
      <c r="P19" s="158"/>
      <c r="Q19" s="199" t="s">
        <v>55</v>
      </c>
      <c r="R19" s="199"/>
      <c r="S19" s="199"/>
      <c r="T19" s="199"/>
      <c r="U19" s="199"/>
    </row>
    <row r="20" spans="1:21" ht="179" customHeight="1">
      <c r="B20" s="124" t="s">
        <v>19</v>
      </c>
      <c r="C20" s="118" t="s">
        <v>20</v>
      </c>
      <c r="D20" s="124" t="s">
        <v>21</v>
      </c>
      <c r="E20" s="118" t="s">
        <v>22</v>
      </c>
      <c r="F20" s="124" t="s">
        <v>23</v>
      </c>
      <c r="G20" s="128"/>
      <c r="H20" s="128"/>
      <c r="I20" s="124" t="s">
        <v>57</v>
      </c>
      <c r="J20" s="118" t="s">
        <v>58</v>
      </c>
      <c r="K20" s="124" t="s">
        <v>59</v>
      </c>
      <c r="L20" s="118" t="s">
        <v>60</v>
      </c>
      <c r="M20" s="124" t="s">
        <v>61</v>
      </c>
      <c r="O20" s="136" t="s">
        <v>64</v>
      </c>
      <c r="Q20" s="124" t="s">
        <v>50</v>
      </c>
      <c r="R20" s="118" t="s">
        <v>51</v>
      </c>
      <c r="S20" s="124" t="s">
        <v>52</v>
      </c>
      <c r="T20" s="118" t="s">
        <v>53</v>
      </c>
      <c r="U20" s="124" t="s">
        <v>54</v>
      </c>
    </row>
    <row r="21" spans="1:21">
      <c r="A21" s="119">
        <v>2005</v>
      </c>
      <c r="B21" s="125">
        <v>9</v>
      </c>
      <c r="C21" s="120">
        <v>26</v>
      </c>
      <c r="D21" s="125">
        <v>45</v>
      </c>
      <c r="E21" s="120">
        <v>71</v>
      </c>
      <c r="F21" s="127">
        <v>5.0999999999999996</v>
      </c>
      <c r="G21" s="129"/>
      <c r="H21" s="119">
        <v>2005</v>
      </c>
      <c r="I21" s="131">
        <f>B21*0.1</f>
        <v>0.9</v>
      </c>
      <c r="J21" s="121">
        <f t="shared" ref="J21:M36" si="7">C21*0.1</f>
        <v>2.6</v>
      </c>
      <c r="K21" s="131">
        <f t="shared" si="7"/>
        <v>4.5</v>
      </c>
      <c r="L21" s="121">
        <f t="shared" si="7"/>
        <v>7.1000000000000005</v>
      </c>
      <c r="M21" s="131">
        <f t="shared" si="7"/>
        <v>0.51</v>
      </c>
      <c r="N21" s="121"/>
      <c r="P21" s="119">
        <v>2005</v>
      </c>
      <c r="Q21" s="132">
        <f t="shared" ref="Q21:Q51" si="8">F21*$O$35</f>
        <v>6.2831999999999999</v>
      </c>
      <c r="R21" s="122">
        <f t="shared" ref="R21:R51" si="9">B21*$O$35</f>
        <v>11.087999999999999</v>
      </c>
      <c r="S21" s="132">
        <f t="shared" ref="S21:S51" si="10">C21*$O$35</f>
        <v>32.031999999999996</v>
      </c>
      <c r="T21" s="122">
        <f t="shared" ref="T21:T51" si="11">D21*$O$35</f>
        <v>55.44</v>
      </c>
      <c r="U21" s="132">
        <f t="shared" ref="U21:U51" si="12">E21*$O$35</f>
        <v>87.471999999999994</v>
      </c>
    </row>
    <row r="22" spans="1:21">
      <c r="A22" s="119">
        <v>2006</v>
      </c>
      <c r="B22" s="125">
        <v>9</v>
      </c>
      <c r="C22" s="120">
        <v>27</v>
      </c>
      <c r="D22" s="125">
        <v>45</v>
      </c>
      <c r="E22" s="120">
        <v>74</v>
      </c>
      <c r="F22" s="127">
        <v>5.4</v>
      </c>
      <c r="G22" s="129"/>
      <c r="H22" s="119">
        <v>2006</v>
      </c>
      <c r="I22" s="131">
        <f t="shared" ref="I22:M51" si="13">B22*0.1</f>
        <v>0.9</v>
      </c>
      <c r="J22" s="121">
        <f t="shared" si="7"/>
        <v>2.7</v>
      </c>
      <c r="K22" s="131">
        <f t="shared" si="7"/>
        <v>4.5</v>
      </c>
      <c r="L22" s="121">
        <f t="shared" si="7"/>
        <v>7.4</v>
      </c>
      <c r="M22" s="131">
        <f t="shared" si="7"/>
        <v>0.54</v>
      </c>
      <c r="N22" s="121"/>
      <c r="P22" s="119">
        <v>2006</v>
      </c>
      <c r="Q22" s="132">
        <f t="shared" si="8"/>
        <v>6.6528</v>
      </c>
      <c r="R22" s="122">
        <f t="shared" si="9"/>
        <v>11.087999999999999</v>
      </c>
      <c r="S22" s="132">
        <f t="shared" si="10"/>
        <v>33.264000000000003</v>
      </c>
      <c r="T22" s="122">
        <f t="shared" si="11"/>
        <v>55.44</v>
      </c>
      <c r="U22" s="132">
        <f t="shared" si="12"/>
        <v>91.167999999999992</v>
      </c>
    </row>
    <row r="23" spans="1:21">
      <c r="A23" s="119">
        <v>2007</v>
      </c>
      <c r="B23" s="125">
        <v>10</v>
      </c>
      <c r="C23" s="120">
        <v>28</v>
      </c>
      <c r="D23" s="125">
        <v>47</v>
      </c>
      <c r="E23" s="120">
        <v>77</v>
      </c>
      <c r="F23" s="127">
        <v>5.6999999999999993</v>
      </c>
      <c r="G23" s="129"/>
      <c r="H23" s="119">
        <v>2007</v>
      </c>
      <c r="I23" s="131">
        <f t="shared" si="13"/>
        <v>1</v>
      </c>
      <c r="J23" s="121">
        <f t="shared" si="7"/>
        <v>2.8000000000000003</v>
      </c>
      <c r="K23" s="131">
        <f t="shared" si="7"/>
        <v>4.7</v>
      </c>
      <c r="L23" s="121">
        <f t="shared" si="7"/>
        <v>7.7</v>
      </c>
      <c r="M23" s="131">
        <f t="shared" si="7"/>
        <v>0.56999999999999995</v>
      </c>
      <c r="N23" s="121"/>
      <c r="P23" s="119">
        <v>2007</v>
      </c>
      <c r="Q23" s="132">
        <f t="shared" si="8"/>
        <v>7.0223999999999993</v>
      </c>
      <c r="R23" s="122">
        <f t="shared" si="9"/>
        <v>12.32</v>
      </c>
      <c r="S23" s="132">
        <f t="shared" si="10"/>
        <v>34.496000000000002</v>
      </c>
      <c r="T23" s="122">
        <f t="shared" si="11"/>
        <v>57.903999999999996</v>
      </c>
      <c r="U23" s="132">
        <f t="shared" si="12"/>
        <v>94.864000000000004</v>
      </c>
    </row>
    <row r="24" spans="1:21">
      <c r="A24" s="119">
        <v>2008</v>
      </c>
      <c r="B24" s="125">
        <v>10</v>
      </c>
      <c r="C24" s="120">
        <v>29</v>
      </c>
      <c r="D24" s="125">
        <v>48</v>
      </c>
      <c r="E24" s="120">
        <v>80</v>
      </c>
      <c r="F24" s="127">
        <v>6</v>
      </c>
      <c r="G24" s="129"/>
      <c r="H24" s="119">
        <v>2008</v>
      </c>
      <c r="I24" s="131">
        <f t="shared" si="13"/>
        <v>1</v>
      </c>
      <c r="J24" s="121">
        <f t="shared" si="7"/>
        <v>2.9000000000000004</v>
      </c>
      <c r="K24" s="131">
        <f t="shared" si="7"/>
        <v>4.8000000000000007</v>
      </c>
      <c r="L24" s="121">
        <f t="shared" si="7"/>
        <v>8</v>
      </c>
      <c r="M24" s="131">
        <f t="shared" si="7"/>
        <v>0.60000000000000009</v>
      </c>
      <c r="N24" s="121"/>
      <c r="P24" s="119">
        <v>2008</v>
      </c>
      <c r="Q24" s="132">
        <f t="shared" si="8"/>
        <v>7.3919999999999995</v>
      </c>
      <c r="R24" s="122">
        <f t="shared" si="9"/>
        <v>12.32</v>
      </c>
      <c r="S24" s="132">
        <f t="shared" si="10"/>
        <v>35.728000000000002</v>
      </c>
      <c r="T24" s="122">
        <f t="shared" si="11"/>
        <v>59.135999999999996</v>
      </c>
      <c r="U24" s="132">
        <f t="shared" si="12"/>
        <v>98.56</v>
      </c>
    </row>
    <row r="25" spans="1:21">
      <c r="A25" s="119">
        <v>2009</v>
      </c>
      <c r="B25" s="125">
        <v>10</v>
      </c>
      <c r="C25" s="120">
        <v>30</v>
      </c>
      <c r="D25" s="125">
        <v>49</v>
      </c>
      <c r="E25" s="120">
        <v>83</v>
      </c>
      <c r="F25" s="127">
        <v>6.3</v>
      </c>
      <c r="G25" s="129"/>
      <c r="H25" s="119">
        <v>2009</v>
      </c>
      <c r="I25" s="131">
        <f t="shared" si="13"/>
        <v>1</v>
      </c>
      <c r="J25" s="121">
        <f t="shared" si="7"/>
        <v>3</v>
      </c>
      <c r="K25" s="131">
        <f t="shared" si="7"/>
        <v>4.9000000000000004</v>
      </c>
      <c r="L25" s="121">
        <f t="shared" si="7"/>
        <v>8.3000000000000007</v>
      </c>
      <c r="M25" s="131">
        <f t="shared" si="7"/>
        <v>0.63</v>
      </c>
      <c r="N25" s="121"/>
      <c r="P25" s="119">
        <v>2009</v>
      </c>
      <c r="Q25" s="132">
        <f t="shared" si="8"/>
        <v>7.7615999999999996</v>
      </c>
      <c r="R25" s="122">
        <f t="shared" si="9"/>
        <v>12.32</v>
      </c>
      <c r="S25" s="132">
        <f t="shared" si="10"/>
        <v>36.96</v>
      </c>
      <c r="T25" s="122">
        <f t="shared" si="11"/>
        <v>60.368000000000002</v>
      </c>
      <c r="U25" s="132">
        <f t="shared" si="12"/>
        <v>102.256</v>
      </c>
    </row>
    <row r="26" spans="1:21">
      <c r="A26" s="119">
        <v>2010</v>
      </c>
      <c r="B26" s="125">
        <v>10</v>
      </c>
      <c r="C26" s="120">
        <v>31</v>
      </c>
      <c r="D26" s="125">
        <v>50</v>
      </c>
      <c r="E26" s="120">
        <v>86</v>
      </c>
      <c r="F26" s="127">
        <v>6.6000000000000005</v>
      </c>
      <c r="G26" s="129"/>
      <c r="H26" s="119">
        <v>2010</v>
      </c>
      <c r="I26" s="131">
        <f t="shared" si="13"/>
        <v>1</v>
      </c>
      <c r="J26" s="121">
        <f t="shared" si="7"/>
        <v>3.1</v>
      </c>
      <c r="K26" s="131">
        <f t="shared" si="7"/>
        <v>5</v>
      </c>
      <c r="L26" s="121">
        <f t="shared" si="7"/>
        <v>8.6</v>
      </c>
      <c r="M26" s="131">
        <f t="shared" si="7"/>
        <v>0.66000000000000014</v>
      </c>
      <c r="N26" s="121"/>
      <c r="P26" s="119">
        <v>2010</v>
      </c>
      <c r="Q26" s="132">
        <f t="shared" si="8"/>
        <v>8.1311999999999998</v>
      </c>
      <c r="R26" s="122">
        <f t="shared" si="9"/>
        <v>12.32</v>
      </c>
      <c r="S26" s="132">
        <f t="shared" si="10"/>
        <v>38.192</v>
      </c>
      <c r="T26" s="122">
        <f t="shared" si="11"/>
        <v>61.6</v>
      </c>
      <c r="U26" s="132">
        <f t="shared" si="12"/>
        <v>105.952</v>
      </c>
    </row>
    <row r="27" spans="1:21">
      <c r="A27" s="119">
        <v>2011</v>
      </c>
      <c r="B27" s="125">
        <v>11</v>
      </c>
      <c r="C27" s="120">
        <v>32</v>
      </c>
      <c r="D27" s="125">
        <v>51</v>
      </c>
      <c r="E27" s="120">
        <v>89</v>
      </c>
      <c r="F27" s="127">
        <v>6.8999999999999995</v>
      </c>
      <c r="G27" s="129"/>
      <c r="H27" s="119">
        <v>2011</v>
      </c>
      <c r="I27" s="131">
        <f t="shared" si="13"/>
        <v>1.1000000000000001</v>
      </c>
      <c r="J27" s="121">
        <f t="shared" si="7"/>
        <v>3.2</v>
      </c>
      <c r="K27" s="131">
        <f t="shared" si="7"/>
        <v>5.1000000000000005</v>
      </c>
      <c r="L27" s="121">
        <f t="shared" si="7"/>
        <v>8.9</v>
      </c>
      <c r="M27" s="131">
        <f t="shared" si="7"/>
        <v>0.69</v>
      </c>
      <c r="N27" s="121"/>
      <c r="P27" s="119">
        <v>2011</v>
      </c>
      <c r="Q27" s="132">
        <f t="shared" si="8"/>
        <v>8.5007999999999999</v>
      </c>
      <c r="R27" s="122">
        <f t="shared" si="9"/>
        <v>13.552</v>
      </c>
      <c r="S27" s="132">
        <f t="shared" si="10"/>
        <v>39.423999999999999</v>
      </c>
      <c r="T27" s="122">
        <f t="shared" si="11"/>
        <v>62.832000000000001</v>
      </c>
      <c r="U27" s="132">
        <f t="shared" si="12"/>
        <v>109.648</v>
      </c>
    </row>
    <row r="28" spans="1:21">
      <c r="A28" s="119">
        <v>2012</v>
      </c>
      <c r="B28" s="125">
        <v>11</v>
      </c>
      <c r="C28" s="120">
        <v>33</v>
      </c>
      <c r="D28" s="125">
        <v>53</v>
      </c>
      <c r="E28" s="120">
        <v>93</v>
      </c>
      <c r="F28" s="127">
        <v>7.1999999999999993</v>
      </c>
      <c r="G28" s="129"/>
      <c r="H28" s="119">
        <v>2012</v>
      </c>
      <c r="I28" s="131">
        <f t="shared" si="13"/>
        <v>1.1000000000000001</v>
      </c>
      <c r="J28" s="121">
        <f t="shared" si="7"/>
        <v>3.3000000000000003</v>
      </c>
      <c r="K28" s="131">
        <f t="shared" si="7"/>
        <v>5.3000000000000007</v>
      </c>
      <c r="L28" s="121">
        <f t="shared" si="7"/>
        <v>9.3000000000000007</v>
      </c>
      <c r="M28" s="131">
        <f t="shared" si="7"/>
        <v>0.72</v>
      </c>
      <c r="N28" s="121"/>
      <c r="P28" s="119">
        <v>2012</v>
      </c>
      <c r="Q28" s="133">
        <f t="shared" si="8"/>
        <v>8.8703999999999983</v>
      </c>
      <c r="R28" s="134">
        <f t="shared" si="9"/>
        <v>13.552</v>
      </c>
      <c r="S28" s="133">
        <f t="shared" si="10"/>
        <v>40.655999999999999</v>
      </c>
      <c r="T28" s="134">
        <f t="shared" si="11"/>
        <v>65.295999999999992</v>
      </c>
      <c r="U28" s="133">
        <f t="shared" si="12"/>
        <v>114.57599999999999</v>
      </c>
    </row>
    <row r="29" spans="1:21">
      <c r="A29" s="119">
        <v>2013</v>
      </c>
      <c r="B29" s="125">
        <v>11</v>
      </c>
      <c r="C29" s="120">
        <v>34</v>
      </c>
      <c r="D29" s="125">
        <v>54</v>
      </c>
      <c r="E29" s="120">
        <v>99</v>
      </c>
      <c r="F29" s="127">
        <v>7.5</v>
      </c>
      <c r="G29" s="129"/>
      <c r="H29" s="119">
        <v>2013</v>
      </c>
      <c r="I29" s="131">
        <f t="shared" si="13"/>
        <v>1.1000000000000001</v>
      </c>
      <c r="J29" s="121">
        <f t="shared" si="7"/>
        <v>3.4000000000000004</v>
      </c>
      <c r="K29" s="131">
        <f t="shared" si="7"/>
        <v>5.4</v>
      </c>
      <c r="L29" s="121">
        <f t="shared" si="7"/>
        <v>9.9</v>
      </c>
      <c r="M29" s="131">
        <f t="shared" si="7"/>
        <v>0.75</v>
      </c>
      <c r="N29" s="121"/>
      <c r="P29" s="119">
        <v>2013</v>
      </c>
      <c r="Q29" s="133">
        <f t="shared" si="8"/>
        <v>9.24</v>
      </c>
      <c r="R29" s="134">
        <f t="shared" si="9"/>
        <v>13.552</v>
      </c>
      <c r="S29" s="133">
        <f t="shared" si="10"/>
        <v>41.887999999999998</v>
      </c>
      <c r="T29" s="134">
        <f t="shared" si="11"/>
        <v>66.528000000000006</v>
      </c>
      <c r="U29" s="133">
        <f t="shared" si="12"/>
        <v>121.968</v>
      </c>
    </row>
    <row r="30" spans="1:21">
      <c r="A30" s="119">
        <v>2014</v>
      </c>
      <c r="B30" s="125">
        <v>11</v>
      </c>
      <c r="C30" s="120">
        <v>35</v>
      </c>
      <c r="D30" s="125">
        <v>55</v>
      </c>
      <c r="E30" s="120">
        <v>103</v>
      </c>
      <c r="F30" s="127">
        <v>7.8000000000000007</v>
      </c>
      <c r="G30" s="129"/>
      <c r="H30" s="119">
        <v>2014</v>
      </c>
      <c r="I30" s="131">
        <f t="shared" si="13"/>
        <v>1.1000000000000001</v>
      </c>
      <c r="J30" s="121">
        <f t="shared" si="7"/>
        <v>3.5</v>
      </c>
      <c r="K30" s="131">
        <f t="shared" si="7"/>
        <v>5.5</v>
      </c>
      <c r="L30" s="121">
        <f t="shared" si="7"/>
        <v>10.3</v>
      </c>
      <c r="M30" s="131">
        <f t="shared" si="7"/>
        <v>0.78000000000000014</v>
      </c>
      <c r="N30" s="121"/>
      <c r="P30" s="119">
        <v>2014</v>
      </c>
      <c r="Q30" s="133">
        <f t="shared" si="8"/>
        <v>9.6096000000000004</v>
      </c>
      <c r="R30" s="134">
        <f t="shared" si="9"/>
        <v>13.552</v>
      </c>
      <c r="S30" s="133">
        <f t="shared" si="10"/>
        <v>43.12</v>
      </c>
      <c r="T30" s="134">
        <f t="shared" si="11"/>
        <v>67.760000000000005</v>
      </c>
      <c r="U30" s="133">
        <f t="shared" si="12"/>
        <v>126.896</v>
      </c>
    </row>
    <row r="31" spans="1:21">
      <c r="A31" s="119">
        <v>2015</v>
      </c>
      <c r="B31" s="125">
        <v>11</v>
      </c>
      <c r="C31" s="120">
        <v>36</v>
      </c>
      <c r="D31" s="125">
        <v>56</v>
      </c>
      <c r="E31" s="120">
        <v>105</v>
      </c>
      <c r="F31" s="127">
        <v>8.1000000000000014</v>
      </c>
      <c r="G31" s="129"/>
      <c r="H31" s="119">
        <v>2015</v>
      </c>
      <c r="I31" s="131">
        <f t="shared" si="13"/>
        <v>1.1000000000000001</v>
      </c>
      <c r="J31" s="121">
        <f t="shared" si="7"/>
        <v>3.6</v>
      </c>
      <c r="K31" s="131">
        <f t="shared" si="7"/>
        <v>5.6000000000000005</v>
      </c>
      <c r="L31" s="121">
        <f t="shared" si="7"/>
        <v>10.5</v>
      </c>
      <c r="M31" s="131">
        <f t="shared" si="7"/>
        <v>0.81000000000000016</v>
      </c>
      <c r="N31" s="121"/>
      <c r="P31" s="119">
        <v>2015</v>
      </c>
      <c r="Q31" s="133">
        <f t="shared" si="8"/>
        <v>9.9792000000000023</v>
      </c>
      <c r="R31" s="134">
        <f t="shared" si="9"/>
        <v>13.552</v>
      </c>
      <c r="S31" s="133">
        <f t="shared" si="10"/>
        <v>44.351999999999997</v>
      </c>
      <c r="T31" s="134">
        <f t="shared" si="11"/>
        <v>68.992000000000004</v>
      </c>
      <c r="U31" s="133">
        <f t="shared" si="12"/>
        <v>129.35999999999999</v>
      </c>
    </row>
    <row r="32" spans="1:21">
      <c r="A32" s="119">
        <v>2016</v>
      </c>
      <c r="B32" s="125">
        <v>11</v>
      </c>
      <c r="C32" s="120">
        <v>38</v>
      </c>
      <c r="D32" s="125">
        <v>57</v>
      </c>
      <c r="E32" s="120">
        <v>108</v>
      </c>
      <c r="F32" s="127">
        <v>8.4</v>
      </c>
      <c r="G32" s="129"/>
      <c r="H32" s="119">
        <v>2016</v>
      </c>
      <c r="I32" s="131">
        <f t="shared" si="13"/>
        <v>1.1000000000000001</v>
      </c>
      <c r="J32" s="121">
        <f t="shared" si="7"/>
        <v>3.8000000000000003</v>
      </c>
      <c r="K32" s="131">
        <f t="shared" si="7"/>
        <v>5.7</v>
      </c>
      <c r="L32" s="121">
        <f t="shared" si="7"/>
        <v>10.8</v>
      </c>
      <c r="M32" s="131">
        <f t="shared" si="7"/>
        <v>0.84000000000000008</v>
      </c>
      <c r="N32" s="121"/>
      <c r="P32" s="119">
        <v>2016</v>
      </c>
      <c r="Q32" s="133">
        <f t="shared" si="8"/>
        <v>10.348800000000001</v>
      </c>
      <c r="R32" s="134">
        <f t="shared" si="9"/>
        <v>13.552</v>
      </c>
      <c r="S32" s="133">
        <f t="shared" si="10"/>
        <v>46.816000000000003</v>
      </c>
      <c r="T32" s="134">
        <f t="shared" si="11"/>
        <v>70.224000000000004</v>
      </c>
      <c r="U32" s="133">
        <f t="shared" si="12"/>
        <v>133.05600000000001</v>
      </c>
    </row>
    <row r="33" spans="1:21">
      <c r="A33" s="119">
        <v>2017</v>
      </c>
      <c r="B33" s="125">
        <v>11</v>
      </c>
      <c r="C33" s="120">
        <v>39</v>
      </c>
      <c r="D33" s="125">
        <v>59</v>
      </c>
      <c r="E33" s="120">
        <v>112</v>
      </c>
      <c r="F33" s="127">
        <v>8.6999999999999993</v>
      </c>
      <c r="G33" s="129"/>
      <c r="H33" s="119">
        <v>2017</v>
      </c>
      <c r="I33" s="131">
        <f t="shared" si="13"/>
        <v>1.1000000000000001</v>
      </c>
      <c r="J33" s="121">
        <f t="shared" si="7"/>
        <v>3.9000000000000004</v>
      </c>
      <c r="K33" s="131">
        <f t="shared" si="7"/>
        <v>5.9</v>
      </c>
      <c r="L33" s="121">
        <f t="shared" si="7"/>
        <v>11.200000000000001</v>
      </c>
      <c r="M33" s="131">
        <f t="shared" si="7"/>
        <v>0.87</v>
      </c>
      <c r="N33" s="121"/>
      <c r="P33" s="119">
        <v>2017</v>
      </c>
      <c r="Q33" s="133">
        <f t="shared" si="8"/>
        <v>10.718399999999999</v>
      </c>
      <c r="R33" s="134">
        <f t="shared" si="9"/>
        <v>13.552</v>
      </c>
      <c r="S33" s="133">
        <f t="shared" si="10"/>
        <v>48.048000000000002</v>
      </c>
      <c r="T33" s="134">
        <f t="shared" si="11"/>
        <v>72.688000000000002</v>
      </c>
      <c r="U33" s="133">
        <f t="shared" si="12"/>
        <v>137.98400000000001</v>
      </c>
    </row>
    <row r="34" spans="1:21">
      <c r="A34" s="119">
        <v>2018</v>
      </c>
      <c r="B34" s="125">
        <v>12</v>
      </c>
      <c r="C34" s="120">
        <v>40</v>
      </c>
      <c r="D34" s="125">
        <v>60</v>
      </c>
      <c r="E34" s="120">
        <v>116</v>
      </c>
      <c r="F34" s="127">
        <v>9</v>
      </c>
      <c r="G34" s="129"/>
      <c r="H34" s="119">
        <v>2018</v>
      </c>
      <c r="I34" s="131">
        <f t="shared" si="13"/>
        <v>1.2000000000000002</v>
      </c>
      <c r="J34" s="121">
        <f t="shared" si="7"/>
        <v>4</v>
      </c>
      <c r="K34" s="131">
        <f t="shared" si="7"/>
        <v>6</v>
      </c>
      <c r="L34" s="121">
        <f t="shared" si="7"/>
        <v>11.600000000000001</v>
      </c>
      <c r="M34" s="131">
        <f t="shared" si="7"/>
        <v>0.9</v>
      </c>
      <c r="N34" s="121"/>
      <c r="O34" s="117"/>
      <c r="P34" s="119">
        <v>2018</v>
      </c>
      <c r="Q34" s="133">
        <f t="shared" si="8"/>
        <v>11.087999999999999</v>
      </c>
      <c r="R34" s="134">
        <f t="shared" si="9"/>
        <v>14.783999999999999</v>
      </c>
      <c r="S34" s="133">
        <f t="shared" si="10"/>
        <v>49.28</v>
      </c>
      <c r="T34" s="134">
        <f t="shared" si="11"/>
        <v>73.92</v>
      </c>
      <c r="U34" s="133">
        <f t="shared" si="12"/>
        <v>142.91200000000001</v>
      </c>
    </row>
    <row r="35" spans="1:21">
      <c r="A35" s="119">
        <v>2019</v>
      </c>
      <c r="B35" s="125">
        <v>12</v>
      </c>
      <c r="C35" s="120">
        <v>41</v>
      </c>
      <c r="D35" s="125">
        <v>61</v>
      </c>
      <c r="E35" s="120">
        <v>120</v>
      </c>
      <c r="F35" s="127">
        <v>9.3000000000000007</v>
      </c>
      <c r="G35" s="129"/>
      <c r="H35" s="119">
        <v>2019</v>
      </c>
      <c r="I35" s="131">
        <f t="shared" si="13"/>
        <v>1.2000000000000002</v>
      </c>
      <c r="J35" s="121">
        <f t="shared" si="7"/>
        <v>4.1000000000000005</v>
      </c>
      <c r="K35" s="131">
        <f t="shared" si="7"/>
        <v>6.1000000000000005</v>
      </c>
      <c r="L35" s="121">
        <f t="shared" si="7"/>
        <v>12</v>
      </c>
      <c r="M35" s="131">
        <f t="shared" si="7"/>
        <v>0.93000000000000016</v>
      </c>
      <c r="N35" s="121"/>
      <c r="O35" s="154">
        <v>1.232</v>
      </c>
      <c r="P35" s="119">
        <v>2019</v>
      </c>
      <c r="Q35" s="133">
        <f t="shared" si="8"/>
        <v>11.457600000000001</v>
      </c>
      <c r="R35" s="134">
        <f t="shared" si="9"/>
        <v>14.783999999999999</v>
      </c>
      <c r="S35" s="133">
        <f t="shared" si="10"/>
        <v>50.512</v>
      </c>
      <c r="T35" s="134">
        <f t="shared" si="11"/>
        <v>75.152000000000001</v>
      </c>
      <c r="U35" s="133">
        <f t="shared" si="12"/>
        <v>147.84</v>
      </c>
    </row>
    <row r="36" spans="1:21">
      <c r="A36" s="119">
        <v>2020</v>
      </c>
      <c r="B36" s="125">
        <v>12</v>
      </c>
      <c r="C36" s="120">
        <v>42</v>
      </c>
      <c r="D36" s="125">
        <v>62</v>
      </c>
      <c r="E36" s="120">
        <v>123</v>
      </c>
      <c r="F36" s="127">
        <v>9.6</v>
      </c>
      <c r="G36" s="129"/>
      <c r="H36" s="119">
        <v>2020</v>
      </c>
      <c r="I36" s="131">
        <f t="shared" si="13"/>
        <v>1.2000000000000002</v>
      </c>
      <c r="J36" s="121">
        <f t="shared" si="7"/>
        <v>4.2</v>
      </c>
      <c r="K36" s="131">
        <f t="shared" si="7"/>
        <v>6.2</v>
      </c>
      <c r="L36" s="121">
        <f t="shared" si="7"/>
        <v>12.3</v>
      </c>
      <c r="M36" s="131">
        <f t="shared" si="7"/>
        <v>0.96</v>
      </c>
      <c r="N36" s="121"/>
      <c r="P36" s="119">
        <v>2020</v>
      </c>
      <c r="Q36" s="132">
        <f t="shared" si="8"/>
        <v>11.827199999999999</v>
      </c>
      <c r="R36" s="122">
        <f t="shared" si="9"/>
        <v>14.783999999999999</v>
      </c>
      <c r="S36" s="132">
        <f t="shared" si="10"/>
        <v>51.744</v>
      </c>
      <c r="T36" s="122">
        <f t="shared" si="11"/>
        <v>76.384</v>
      </c>
      <c r="U36" s="132">
        <f t="shared" si="12"/>
        <v>151.536</v>
      </c>
    </row>
    <row r="37" spans="1:21">
      <c r="A37" s="119">
        <v>2021</v>
      </c>
      <c r="B37" s="125">
        <v>12</v>
      </c>
      <c r="C37" s="120">
        <v>42</v>
      </c>
      <c r="D37" s="125">
        <v>63</v>
      </c>
      <c r="E37" s="120">
        <v>126</v>
      </c>
      <c r="F37" s="127">
        <v>9.9</v>
      </c>
      <c r="G37" s="129"/>
      <c r="H37" s="119">
        <v>2021</v>
      </c>
      <c r="I37" s="131">
        <f t="shared" si="13"/>
        <v>1.2000000000000002</v>
      </c>
      <c r="J37" s="121">
        <f t="shared" si="13"/>
        <v>4.2</v>
      </c>
      <c r="K37" s="131">
        <f t="shared" si="13"/>
        <v>6.3000000000000007</v>
      </c>
      <c r="L37" s="121">
        <f t="shared" si="13"/>
        <v>12.600000000000001</v>
      </c>
      <c r="M37" s="131">
        <f t="shared" si="13"/>
        <v>0.9900000000000001</v>
      </c>
      <c r="N37" s="121"/>
      <c r="P37" s="119">
        <v>2021</v>
      </c>
      <c r="Q37" s="132">
        <f t="shared" si="8"/>
        <v>12.1968</v>
      </c>
      <c r="R37" s="122">
        <f t="shared" si="9"/>
        <v>14.783999999999999</v>
      </c>
      <c r="S37" s="132">
        <f t="shared" si="10"/>
        <v>51.744</v>
      </c>
      <c r="T37" s="122">
        <f t="shared" si="11"/>
        <v>77.616</v>
      </c>
      <c r="U37" s="132">
        <f t="shared" si="12"/>
        <v>155.232</v>
      </c>
    </row>
    <row r="38" spans="1:21">
      <c r="A38" s="119">
        <v>2022</v>
      </c>
      <c r="B38" s="125">
        <v>13</v>
      </c>
      <c r="C38" s="120">
        <v>43</v>
      </c>
      <c r="D38" s="125">
        <v>64</v>
      </c>
      <c r="E38" s="120">
        <v>129</v>
      </c>
      <c r="F38" s="127">
        <v>10.199999999999999</v>
      </c>
      <c r="G38" s="129"/>
      <c r="H38" s="119">
        <v>2022</v>
      </c>
      <c r="I38" s="131">
        <f t="shared" si="13"/>
        <v>1.3</v>
      </c>
      <c r="J38" s="121">
        <f t="shared" si="13"/>
        <v>4.3</v>
      </c>
      <c r="K38" s="131">
        <f t="shared" si="13"/>
        <v>6.4</v>
      </c>
      <c r="L38" s="121">
        <f t="shared" si="13"/>
        <v>12.9</v>
      </c>
      <c r="M38" s="131">
        <f t="shared" si="13"/>
        <v>1.02</v>
      </c>
      <c r="N38" s="121"/>
      <c r="P38" s="119">
        <v>2022</v>
      </c>
      <c r="Q38" s="132">
        <f t="shared" si="8"/>
        <v>12.5664</v>
      </c>
      <c r="R38" s="122">
        <f t="shared" si="9"/>
        <v>16.015999999999998</v>
      </c>
      <c r="S38" s="132">
        <f t="shared" si="10"/>
        <v>52.975999999999999</v>
      </c>
      <c r="T38" s="122">
        <f t="shared" si="11"/>
        <v>78.847999999999999</v>
      </c>
      <c r="U38" s="132">
        <f t="shared" si="12"/>
        <v>158.928</v>
      </c>
    </row>
    <row r="39" spans="1:21">
      <c r="A39" s="119">
        <v>2023</v>
      </c>
      <c r="B39" s="125">
        <v>13</v>
      </c>
      <c r="C39" s="120">
        <v>44</v>
      </c>
      <c r="D39" s="125">
        <v>65</v>
      </c>
      <c r="E39" s="120">
        <v>132</v>
      </c>
      <c r="F39" s="127">
        <v>10.5</v>
      </c>
      <c r="G39" s="129"/>
      <c r="H39" s="119">
        <v>2023</v>
      </c>
      <c r="I39" s="131">
        <f t="shared" si="13"/>
        <v>1.3</v>
      </c>
      <c r="J39" s="121">
        <f t="shared" si="13"/>
        <v>4.4000000000000004</v>
      </c>
      <c r="K39" s="131">
        <f t="shared" si="13"/>
        <v>6.5</v>
      </c>
      <c r="L39" s="121">
        <f t="shared" si="13"/>
        <v>13.200000000000001</v>
      </c>
      <c r="M39" s="131">
        <f t="shared" si="13"/>
        <v>1.05</v>
      </c>
      <c r="N39" s="121"/>
      <c r="P39" s="119">
        <v>2023</v>
      </c>
      <c r="Q39" s="132">
        <f t="shared" si="8"/>
        <v>12.936</v>
      </c>
      <c r="R39" s="122">
        <f t="shared" si="9"/>
        <v>16.015999999999998</v>
      </c>
      <c r="S39" s="132">
        <f t="shared" si="10"/>
        <v>54.207999999999998</v>
      </c>
      <c r="T39" s="122">
        <f t="shared" si="11"/>
        <v>80.08</v>
      </c>
      <c r="U39" s="132">
        <f t="shared" si="12"/>
        <v>162.624</v>
      </c>
    </row>
    <row r="40" spans="1:21">
      <c r="A40" s="119">
        <v>2024</v>
      </c>
      <c r="B40" s="125">
        <v>13</v>
      </c>
      <c r="C40" s="120">
        <v>45</v>
      </c>
      <c r="D40" s="125">
        <v>66</v>
      </c>
      <c r="E40" s="120">
        <v>135</v>
      </c>
      <c r="F40" s="127">
        <v>10.8</v>
      </c>
      <c r="G40" s="129"/>
      <c r="H40" s="119">
        <v>2024</v>
      </c>
      <c r="I40" s="131">
        <f t="shared" si="13"/>
        <v>1.3</v>
      </c>
      <c r="J40" s="121">
        <f t="shared" si="13"/>
        <v>4.5</v>
      </c>
      <c r="K40" s="131">
        <f t="shared" si="13"/>
        <v>6.6000000000000005</v>
      </c>
      <c r="L40" s="121">
        <f t="shared" si="13"/>
        <v>13.5</v>
      </c>
      <c r="M40" s="131">
        <f t="shared" si="13"/>
        <v>1.08</v>
      </c>
      <c r="N40" s="121"/>
      <c r="P40" s="119">
        <v>2024</v>
      </c>
      <c r="Q40" s="132">
        <f t="shared" si="8"/>
        <v>13.3056</v>
      </c>
      <c r="R40" s="122">
        <f t="shared" si="9"/>
        <v>16.015999999999998</v>
      </c>
      <c r="S40" s="132">
        <f t="shared" si="10"/>
        <v>55.44</v>
      </c>
      <c r="T40" s="122">
        <f t="shared" si="11"/>
        <v>81.311999999999998</v>
      </c>
      <c r="U40" s="132">
        <f t="shared" si="12"/>
        <v>166.32</v>
      </c>
    </row>
    <row r="41" spans="1:21">
      <c r="A41" s="119">
        <v>2025</v>
      </c>
      <c r="B41" s="125">
        <v>14</v>
      </c>
      <c r="C41" s="120">
        <v>46</v>
      </c>
      <c r="D41" s="125">
        <v>68</v>
      </c>
      <c r="E41" s="120">
        <v>138</v>
      </c>
      <c r="F41" s="127">
        <v>11.100000000000001</v>
      </c>
      <c r="G41" s="129"/>
      <c r="H41" s="119">
        <v>2025</v>
      </c>
      <c r="I41" s="131">
        <f t="shared" si="13"/>
        <v>1.4000000000000001</v>
      </c>
      <c r="J41" s="121">
        <f t="shared" si="13"/>
        <v>4.6000000000000005</v>
      </c>
      <c r="K41" s="131">
        <f t="shared" si="13"/>
        <v>6.8000000000000007</v>
      </c>
      <c r="L41" s="121">
        <f t="shared" si="13"/>
        <v>13.8</v>
      </c>
      <c r="M41" s="131">
        <f t="shared" si="13"/>
        <v>1.1100000000000001</v>
      </c>
      <c r="N41" s="121"/>
      <c r="P41" s="119">
        <v>2025</v>
      </c>
      <c r="Q41" s="132">
        <f t="shared" si="8"/>
        <v>13.675200000000002</v>
      </c>
      <c r="R41" s="122">
        <f t="shared" si="9"/>
        <v>17.248000000000001</v>
      </c>
      <c r="S41" s="132">
        <f t="shared" si="10"/>
        <v>56.671999999999997</v>
      </c>
      <c r="T41" s="122">
        <f t="shared" si="11"/>
        <v>83.775999999999996</v>
      </c>
      <c r="U41" s="132">
        <f t="shared" si="12"/>
        <v>170.01599999999999</v>
      </c>
    </row>
    <row r="42" spans="1:21">
      <c r="A42" s="119">
        <v>2026</v>
      </c>
      <c r="B42" s="125">
        <v>14</v>
      </c>
      <c r="C42" s="120">
        <v>47</v>
      </c>
      <c r="D42" s="125">
        <v>69</v>
      </c>
      <c r="E42" s="120">
        <v>141</v>
      </c>
      <c r="F42" s="127">
        <v>11.399999999999999</v>
      </c>
      <c r="G42" s="129"/>
      <c r="H42" s="119">
        <v>2026</v>
      </c>
      <c r="I42" s="131">
        <f t="shared" si="13"/>
        <v>1.4000000000000001</v>
      </c>
      <c r="J42" s="121">
        <f t="shared" si="13"/>
        <v>4.7</v>
      </c>
      <c r="K42" s="131">
        <f t="shared" si="13"/>
        <v>6.9</v>
      </c>
      <c r="L42" s="121">
        <f t="shared" si="13"/>
        <v>14.100000000000001</v>
      </c>
      <c r="M42" s="131">
        <f t="shared" si="13"/>
        <v>1.1399999999999999</v>
      </c>
      <c r="N42" s="121"/>
      <c r="P42" s="119">
        <v>2026</v>
      </c>
      <c r="Q42" s="132">
        <f t="shared" si="8"/>
        <v>14.044799999999999</v>
      </c>
      <c r="R42" s="122">
        <f t="shared" si="9"/>
        <v>17.248000000000001</v>
      </c>
      <c r="S42" s="132">
        <f t="shared" si="10"/>
        <v>57.903999999999996</v>
      </c>
      <c r="T42" s="122">
        <f t="shared" si="11"/>
        <v>85.007999999999996</v>
      </c>
      <c r="U42" s="132">
        <f t="shared" si="12"/>
        <v>173.71199999999999</v>
      </c>
    </row>
    <row r="43" spans="1:21">
      <c r="A43" s="119">
        <v>2027</v>
      </c>
      <c r="B43" s="125">
        <v>15</v>
      </c>
      <c r="C43" s="120">
        <v>48</v>
      </c>
      <c r="D43" s="125">
        <v>70</v>
      </c>
      <c r="E43" s="120">
        <v>143</v>
      </c>
      <c r="F43" s="127">
        <v>11.7</v>
      </c>
      <c r="G43" s="129"/>
      <c r="H43" s="119">
        <v>2027</v>
      </c>
      <c r="I43" s="131">
        <f t="shared" si="13"/>
        <v>1.5</v>
      </c>
      <c r="J43" s="121">
        <f t="shared" si="13"/>
        <v>4.8000000000000007</v>
      </c>
      <c r="K43" s="131">
        <f t="shared" si="13"/>
        <v>7</v>
      </c>
      <c r="L43" s="121">
        <f t="shared" si="13"/>
        <v>14.3</v>
      </c>
      <c r="M43" s="131">
        <f t="shared" si="13"/>
        <v>1.17</v>
      </c>
      <c r="N43" s="121"/>
      <c r="P43" s="119">
        <v>2027</v>
      </c>
      <c r="Q43" s="132">
        <f t="shared" si="8"/>
        <v>14.414399999999999</v>
      </c>
      <c r="R43" s="122">
        <f t="shared" si="9"/>
        <v>18.48</v>
      </c>
      <c r="S43" s="132">
        <f t="shared" si="10"/>
        <v>59.135999999999996</v>
      </c>
      <c r="T43" s="122">
        <f t="shared" si="11"/>
        <v>86.24</v>
      </c>
      <c r="U43" s="132">
        <f t="shared" si="12"/>
        <v>176.17599999999999</v>
      </c>
    </row>
    <row r="44" spans="1:21">
      <c r="A44" s="119">
        <v>2028</v>
      </c>
      <c r="B44" s="126">
        <v>15</v>
      </c>
      <c r="C44" s="123">
        <v>49</v>
      </c>
      <c r="D44" s="126">
        <v>71</v>
      </c>
      <c r="E44" s="123">
        <v>146</v>
      </c>
      <c r="F44" s="127">
        <v>12</v>
      </c>
      <c r="G44" s="129"/>
      <c r="H44" s="119">
        <v>2028</v>
      </c>
      <c r="I44" s="131">
        <f t="shared" si="13"/>
        <v>1.5</v>
      </c>
      <c r="J44" s="121">
        <f t="shared" si="13"/>
        <v>4.9000000000000004</v>
      </c>
      <c r="K44" s="131">
        <f t="shared" si="13"/>
        <v>7.1000000000000005</v>
      </c>
      <c r="L44" s="121">
        <f t="shared" si="13"/>
        <v>14.600000000000001</v>
      </c>
      <c r="M44" s="131">
        <f t="shared" si="13"/>
        <v>1.2000000000000002</v>
      </c>
      <c r="N44" s="121"/>
      <c r="P44" s="119">
        <v>2028</v>
      </c>
      <c r="Q44" s="132">
        <f t="shared" si="8"/>
        <v>14.783999999999999</v>
      </c>
      <c r="R44" s="122">
        <f t="shared" si="9"/>
        <v>18.48</v>
      </c>
      <c r="S44" s="132">
        <f t="shared" si="10"/>
        <v>60.368000000000002</v>
      </c>
      <c r="T44" s="122">
        <f t="shared" si="11"/>
        <v>87.471999999999994</v>
      </c>
      <c r="U44" s="132">
        <f t="shared" si="12"/>
        <v>179.87199999999999</v>
      </c>
    </row>
    <row r="45" spans="1:21">
      <c r="A45" s="119">
        <v>2029</v>
      </c>
      <c r="B45" s="126">
        <v>15</v>
      </c>
      <c r="C45" s="123">
        <v>49</v>
      </c>
      <c r="D45" s="126">
        <v>72</v>
      </c>
      <c r="E45" s="123">
        <v>149</v>
      </c>
      <c r="F45" s="127">
        <v>12.3</v>
      </c>
      <c r="G45" s="129"/>
      <c r="H45" s="119">
        <v>2029</v>
      </c>
      <c r="I45" s="131">
        <f t="shared" si="13"/>
        <v>1.5</v>
      </c>
      <c r="J45" s="121">
        <f t="shared" si="13"/>
        <v>4.9000000000000004</v>
      </c>
      <c r="K45" s="131">
        <f t="shared" si="13"/>
        <v>7.2</v>
      </c>
      <c r="L45" s="121">
        <f t="shared" si="13"/>
        <v>14.9</v>
      </c>
      <c r="M45" s="131">
        <f t="shared" si="13"/>
        <v>1.2300000000000002</v>
      </c>
      <c r="N45" s="121"/>
      <c r="P45" s="119">
        <v>2029</v>
      </c>
      <c r="Q45" s="132">
        <f t="shared" si="8"/>
        <v>15.153600000000001</v>
      </c>
      <c r="R45" s="122">
        <f t="shared" si="9"/>
        <v>18.48</v>
      </c>
      <c r="S45" s="132">
        <f t="shared" si="10"/>
        <v>60.368000000000002</v>
      </c>
      <c r="T45" s="122">
        <f t="shared" si="11"/>
        <v>88.703999999999994</v>
      </c>
      <c r="U45" s="132">
        <f t="shared" si="12"/>
        <v>183.56799999999998</v>
      </c>
    </row>
    <row r="46" spans="1:21">
      <c r="A46" s="119">
        <v>2030</v>
      </c>
      <c r="B46" s="126">
        <v>16</v>
      </c>
      <c r="C46" s="123">
        <v>50</v>
      </c>
      <c r="D46" s="126">
        <v>73</v>
      </c>
      <c r="E46" s="123">
        <v>152</v>
      </c>
      <c r="F46" s="127">
        <v>12.6</v>
      </c>
      <c r="G46" s="129"/>
      <c r="H46" s="119">
        <v>2030</v>
      </c>
      <c r="I46" s="131">
        <f t="shared" si="13"/>
        <v>1.6</v>
      </c>
      <c r="J46" s="121">
        <f t="shared" si="13"/>
        <v>5</v>
      </c>
      <c r="K46" s="131">
        <f t="shared" si="13"/>
        <v>7.3000000000000007</v>
      </c>
      <c r="L46" s="121">
        <f t="shared" si="13"/>
        <v>15.200000000000001</v>
      </c>
      <c r="M46" s="131">
        <f t="shared" si="13"/>
        <v>1.26</v>
      </c>
      <c r="N46" s="121"/>
      <c r="P46" s="119">
        <v>2030</v>
      </c>
      <c r="Q46" s="132">
        <f t="shared" si="8"/>
        <v>15.523199999999999</v>
      </c>
      <c r="R46" s="122">
        <f t="shared" si="9"/>
        <v>19.712</v>
      </c>
      <c r="S46" s="132">
        <f t="shared" si="10"/>
        <v>61.6</v>
      </c>
      <c r="T46" s="122">
        <f t="shared" si="11"/>
        <v>89.935999999999993</v>
      </c>
      <c r="U46" s="132">
        <f t="shared" si="12"/>
        <v>187.26400000000001</v>
      </c>
    </row>
    <row r="47" spans="1:21">
      <c r="A47" s="119">
        <v>2031</v>
      </c>
      <c r="B47" s="126">
        <v>16</v>
      </c>
      <c r="C47" s="123">
        <v>51</v>
      </c>
      <c r="D47" s="126">
        <v>74</v>
      </c>
      <c r="E47" s="123">
        <v>155</v>
      </c>
      <c r="F47" s="127">
        <v>12.9</v>
      </c>
      <c r="G47" s="129"/>
      <c r="H47" s="119">
        <v>2031</v>
      </c>
      <c r="I47" s="131">
        <f t="shared" si="13"/>
        <v>1.6</v>
      </c>
      <c r="J47" s="121">
        <f t="shared" si="13"/>
        <v>5.1000000000000005</v>
      </c>
      <c r="K47" s="131">
        <f t="shared" si="13"/>
        <v>7.4</v>
      </c>
      <c r="L47" s="121">
        <f t="shared" si="13"/>
        <v>15.5</v>
      </c>
      <c r="M47" s="131">
        <f t="shared" si="13"/>
        <v>1.29</v>
      </c>
      <c r="N47" s="121"/>
      <c r="P47" s="119">
        <v>2031</v>
      </c>
      <c r="Q47" s="132">
        <f t="shared" si="8"/>
        <v>15.892799999999999</v>
      </c>
      <c r="R47" s="122">
        <f t="shared" si="9"/>
        <v>19.712</v>
      </c>
      <c r="S47" s="132">
        <f t="shared" si="10"/>
        <v>62.832000000000001</v>
      </c>
      <c r="T47" s="122">
        <f t="shared" si="11"/>
        <v>91.167999999999992</v>
      </c>
      <c r="U47" s="132">
        <f t="shared" si="12"/>
        <v>190.96</v>
      </c>
    </row>
    <row r="48" spans="1:21">
      <c r="A48" s="119">
        <v>2032</v>
      </c>
      <c r="B48" s="126">
        <v>17</v>
      </c>
      <c r="C48" s="123">
        <v>52</v>
      </c>
      <c r="D48" s="126">
        <v>75</v>
      </c>
      <c r="E48" s="123">
        <v>158</v>
      </c>
      <c r="F48" s="127">
        <v>13.200000000000001</v>
      </c>
      <c r="G48" s="129"/>
      <c r="H48" s="119">
        <v>2032</v>
      </c>
      <c r="I48" s="131">
        <f t="shared" si="13"/>
        <v>1.7000000000000002</v>
      </c>
      <c r="J48" s="121">
        <f t="shared" si="13"/>
        <v>5.2</v>
      </c>
      <c r="K48" s="131">
        <f t="shared" si="13"/>
        <v>7.5</v>
      </c>
      <c r="L48" s="121">
        <f t="shared" si="13"/>
        <v>15.8</v>
      </c>
      <c r="M48" s="131">
        <f t="shared" si="13"/>
        <v>1.3200000000000003</v>
      </c>
      <c r="N48" s="121"/>
      <c r="P48" s="119">
        <v>2032</v>
      </c>
      <c r="Q48" s="132">
        <f t="shared" si="8"/>
        <v>16.2624</v>
      </c>
      <c r="R48" s="122">
        <f t="shared" si="9"/>
        <v>20.943999999999999</v>
      </c>
      <c r="S48" s="132">
        <f t="shared" si="10"/>
        <v>64.063999999999993</v>
      </c>
      <c r="T48" s="122">
        <f t="shared" si="11"/>
        <v>92.4</v>
      </c>
      <c r="U48" s="132">
        <f t="shared" si="12"/>
        <v>194.65600000000001</v>
      </c>
    </row>
    <row r="49" spans="1:21">
      <c r="A49" s="119">
        <v>2033</v>
      </c>
      <c r="B49" s="126">
        <v>17</v>
      </c>
      <c r="C49" s="123">
        <v>53</v>
      </c>
      <c r="D49" s="126">
        <v>76</v>
      </c>
      <c r="E49" s="123">
        <v>161</v>
      </c>
      <c r="F49" s="127">
        <v>13.5</v>
      </c>
      <c r="G49" s="129"/>
      <c r="H49" s="119">
        <v>2033</v>
      </c>
      <c r="I49" s="131">
        <f t="shared" si="13"/>
        <v>1.7000000000000002</v>
      </c>
      <c r="J49" s="121">
        <f t="shared" si="13"/>
        <v>5.3000000000000007</v>
      </c>
      <c r="K49" s="131">
        <f t="shared" si="13"/>
        <v>7.6000000000000005</v>
      </c>
      <c r="L49" s="121">
        <f t="shared" si="13"/>
        <v>16.100000000000001</v>
      </c>
      <c r="M49" s="131">
        <f t="shared" si="13"/>
        <v>1.35</v>
      </c>
      <c r="N49" s="121"/>
      <c r="P49" s="119">
        <v>2033</v>
      </c>
      <c r="Q49" s="132">
        <f t="shared" si="8"/>
        <v>16.632000000000001</v>
      </c>
      <c r="R49" s="122">
        <f t="shared" si="9"/>
        <v>20.943999999999999</v>
      </c>
      <c r="S49" s="132">
        <f t="shared" si="10"/>
        <v>65.295999999999992</v>
      </c>
      <c r="T49" s="122">
        <f t="shared" si="11"/>
        <v>93.632000000000005</v>
      </c>
      <c r="U49" s="132">
        <f t="shared" si="12"/>
        <v>198.352</v>
      </c>
    </row>
    <row r="50" spans="1:21">
      <c r="A50" s="119">
        <v>2034</v>
      </c>
      <c r="B50" s="126">
        <v>18</v>
      </c>
      <c r="C50" s="123">
        <v>54</v>
      </c>
      <c r="D50" s="126">
        <v>77</v>
      </c>
      <c r="E50" s="123">
        <v>164</v>
      </c>
      <c r="F50" s="127">
        <v>13.799999999999999</v>
      </c>
      <c r="G50" s="129"/>
      <c r="H50" s="119">
        <v>2034</v>
      </c>
      <c r="I50" s="131">
        <f t="shared" si="13"/>
        <v>1.8</v>
      </c>
      <c r="J50" s="121">
        <f t="shared" si="13"/>
        <v>5.4</v>
      </c>
      <c r="K50" s="131">
        <f t="shared" si="13"/>
        <v>7.7</v>
      </c>
      <c r="L50" s="121">
        <f t="shared" si="13"/>
        <v>16.400000000000002</v>
      </c>
      <c r="M50" s="131">
        <f t="shared" si="13"/>
        <v>1.38</v>
      </c>
      <c r="N50" s="121"/>
      <c r="P50" s="119">
        <v>2034</v>
      </c>
      <c r="Q50" s="132">
        <f t="shared" si="8"/>
        <v>17.0016</v>
      </c>
      <c r="R50" s="122">
        <f t="shared" si="9"/>
        <v>22.175999999999998</v>
      </c>
      <c r="S50" s="132">
        <f t="shared" si="10"/>
        <v>66.528000000000006</v>
      </c>
      <c r="T50" s="122">
        <f t="shared" si="11"/>
        <v>94.864000000000004</v>
      </c>
      <c r="U50" s="132">
        <f t="shared" si="12"/>
        <v>202.048</v>
      </c>
    </row>
    <row r="51" spans="1:21">
      <c r="A51" s="119">
        <v>2035</v>
      </c>
      <c r="B51" s="126">
        <v>18</v>
      </c>
      <c r="C51" s="123">
        <v>55</v>
      </c>
      <c r="D51" s="126">
        <v>78</v>
      </c>
      <c r="E51" s="123">
        <v>168</v>
      </c>
      <c r="F51" s="127">
        <v>14.1</v>
      </c>
      <c r="G51" s="129"/>
      <c r="H51" s="119">
        <v>2035</v>
      </c>
      <c r="I51" s="131">
        <f t="shared" si="13"/>
        <v>1.8</v>
      </c>
      <c r="J51" s="121">
        <f t="shared" si="13"/>
        <v>5.5</v>
      </c>
      <c r="K51" s="131">
        <f t="shared" si="13"/>
        <v>7.8000000000000007</v>
      </c>
      <c r="L51" s="121">
        <f t="shared" si="13"/>
        <v>16.8</v>
      </c>
      <c r="M51" s="131">
        <f t="shared" si="13"/>
        <v>1.4100000000000001</v>
      </c>
      <c r="N51" s="121"/>
      <c r="P51" s="119">
        <v>2035</v>
      </c>
      <c r="Q51" s="132">
        <f t="shared" si="8"/>
        <v>17.371199999999998</v>
      </c>
      <c r="R51" s="122">
        <f t="shared" si="9"/>
        <v>22.175999999999998</v>
      </c>
      <c r="S51" s="132">
        <f t="shared" si="10"/>
        <v>67.760000000000005</v>
      </c>
      <c r="T51" s="122">
        <f t="shared" si="11"/>
        <v>96.096000000000004</v>
      </c>
      <c r="U51" s="132">
        <f t="shared" si="12"/>
        <v>206.976</v>
      </c>
    </row>
    <row r="52" spans="1:21">
      <c r="A52" s="119"/>
    </row>
    <row r="53" spans="1:21" ht="16" customHeight="1">
      <c r="A53" s="198" t="s">
        <v>63</v>
      </c>
      <c r="B53" s="198"/>
      <c r="C53" s="198"/>
      <c r="D53" s="198"/>
      <c r="E53" s="198"/>
      <c r="F53" s="198"/>
      <c r="O53" s="198" t="s">
        <v>62</v>
      </c>
      <c r="P53" s="198"/>
      <c r="Q53" s="198"/>
      <c r="R53" s="198"/>
      <c r="S53" s="198"/>
      <c r="T53" s="198"/>
      <c r="U53" s="198"/>
    </row>
    <row r="54" spans="1:21" ht="16" customHeight="1">
      <c r="A54" s="198"/>
      <c r="B54" s="198"/>
      <c r="C54" s="198"/>
      <c r="D54" s="198"/>
      <c r="E54" s="198"/>
      <c r="F54" s="198"/>
      <c r="O54" s="198"/>
      <c r="P54" s="198"/>
      <c r="Q54" s="198"/>
      <c r="R54" s="198"/>
      <c r="S54" s="198"/>
      <c r="T54" s="198"/>
      <c r="U54" s="198"/>
    </row>
    <row r="55" spans="1:21" ht="16" customHeight="1">
      <c r="A55" s="198"/>
      <c r="B55" s="198"/>
      <c r="C55" s="198"/>
      <c r="D55" s="198"/>
      <c r="E55" s="198"/>
      <c r="F55" s="198"/>
      <c r="O55" s="198"/>
      <c r="P55" s="198"/>
      <c r="Q55" s="198"/>
      <c r="R55" s="198"/>
      <c r="S55" s="198"/>
      <c r="T55" s="198"/>
      <c r="U55" s="198"/>
    </row>
    <row r="56" spans="1:21" ht="16" customHeight="1">
      <c r="A56" s="198"/>
      <c r="B56" s="198"/>
      <c r="C56" s="198"/>
      <c r="D56" s="198"/>
      <c r="E56" s="198"/>
      <c r="F56" s="198"/>
      <c r="O56" s="198"/>
      <c r="P56" s="198"/>
      <c r="Q56" s="198"/>
      <c r="R56" s="198"/>
      <c r="S56" s="198"/>
      <c r="T56" s="198"/>
      <c r="U56" s="198"/>
    </row>
    <row r="57" spans="1:21" ht="47" customHeight="1">
      <c r="A57" s="198"/>
      <c r="B57" s="198"/>
      <c r="C57" s="198"/>
      <c r="D57" s="198"/>
      <c r="E57" s="198"/>
      <c r="F57" s="198"/>
      <c r="O57" s="198"/>
      <c r="P57" s="198"/>
      <c r="Q57" s="198"/>
      <c r="R57" s="198"/>
      <c r="S57" s="198"/>
      <c r="T57" s="198"/>
      <c r="U57" s="198"/>
    </row>
  </sheetData>
  <mergeCells count="8">
    <mergeCell ref="D3:H3"/>
    <mergeCell ref="I3:M3"/>
    <mergeCell ref="C2:M2"/>
    <mergeCell ref="O53:U57"/>
    <mergeCell ref="Q19:U19"/>
    <mergeCell ref="B19:F19"/>
    <mergeCell ref="I19:M19"/>
    <mergeCell ref="A53:F5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D7757-C021-D44C-B43C-D9C6C5130A04}">
  <dimension ref="A1:AQ146"/>
  <sheetViews>
    <sheetView showGridLines="0" topLeftCell="B1" zoomScale="50" zoomScaleNormal="50" workbookViewId="0">
      <selection activeCell="D35" sqref="D35:L35"/>
    </sheetView>
  </sheetViews>
  <sheetFormatPr defaultColWidth="17.453125" defaultRowHeight="14.5"/>
  <cols>
    <col min="1" max="1" width="20.36328125" style="1" customWidth="1"/>
    <col min="2" max="2" width="17.453125" style="1"/>
    <col min="3" max="3" width="30.81640625" style="21" bestFit="1" customWidth="1"/>
    <col min="4" max="11" width="15.36328125" style="1" customWidth="1"/>
    <col min="12" max="12" width="15.453125" style="1" customWidth="1"/>
    <col min="13" max="14" width="15.36328125" style="1" customWidth="1"/>
    <col min="15" max="15" width="17.453125" style="1"/>
    <col min="16" max="16" width="17.36328125" style="1" customWidth="1"/>
    <col min="17" max="17" width="17.453125" style="1" customWidth="1"/>
    <col min="18" max="16384" width="17.453125" style="1"/>
  </cols>
  <sheetData>
    <row r="1" spans="1:43" ht="36" customHeight="1">
      <c r="C1" s="29"/>
      <c r="D1" s="8"/>
      <c r="E1" s="8"/>
      <c r="F1" s="8"/>
      <c r="G1" s="8"/>
      <c r="H1" s="8"/>
      <c r="I1" s="8"/>
      <c r="J1" s="8"/>
      <c r="K1" s="8"/>
      <c r="L1" s="8"/>
      <c r="M1" s="8"/>
      <c r="N1" s="8"/>
    </row>
    <row r="2" spans="1:43" ht="15.5">
      <c r="D2" s="203"/>
      <c r="E2" s="203"/>
      <c r="F2" s="203"/>
      <c r="G2" s="203"/>
      <c r="H2" s="203"/>
      <c r="I2" s="203"/>
      <c r="J2" s="203"/>
      <c r="K2" s="203"/>
      <c r="L2" s="203"/>
      <c r="M2" s="203"/>
    </row>
    <row r="3" spans="1:43" ht="47" customHeight="1">
      <c r="A3" s="201" t="s">
        <v>103</v>
      </c>
      <c r="D3" s="204" t="s">
        <v>43</v>
      </c>
      <c r="E3" s="204"/>
      <c r="F3" s="204"/>
      <c r="G3" s="204"/>
      <c r="H3" s="204"/>
      <c r="I3" s="204"/>
      <c r="J3" s="204"/>
      <c r="K3" s="204"/>
      <c r="L3" s="204"/>
      <c r="M3" s="204"/>
      <c r="N3" s="204"/>
      <c r="Q3" s="3"/>
    </row>
    <row r="4" spans="1:43" ht="19" customHeight="1">
      <c r="A4" s="201"/>
      <c r="D4" s="205" t="s">
        <v>41</v>
      </c>
      <c r="E4" s="205"/>
      <c r="F4" s="205"/>
      <c r="G4" s="205"/>
      <c r="H4" s="205"/>
      <c r="I4" s="195" t="s">
        <v>42</v>
      </c>
      <c r="J4" s="206"/>
      <c r="K4" s="206"/>
      <c r="L4" s="206"/>
      <c r="M4" s="206"/>
      <c r="N4" s="32"/>
      <c r="Q4" s="3"/>
    </row>
    <row r="5" spans="1:43" ht="33" customHeight="1">
      <c r="A5" s="201"/>
      <c r="C5" s="22"/>
      <c r="D5" s="47">
        <v>7.0000000000000007E-2</v>
      </c>
      <c r="E5" s="48">
        <v>0.05</v>
      </c>
      <c r="F5" s="49">
        <v>0.03</v>
      </c>
      <c r="G5" s="50">
        <v>2.5000000000000001E-2</v>
      </c>
      <c r="H5" s="51" t="s">
        <v>25</v>
      </c>
      <c r="I5" s="52">
        <v>7.0000000000000007E-2</v>
      </c>
      <c r="J5" s="48">
        <v>0.05</v>
      </c>
      <c r="K5" s="104">
        <v>0.03</v>
      </c>
      <c r="L5" s="50">
        <v>2.5000000000000001E-2</v>
      </c>
      <c r="M5" s="51" t="s">
        <v>25</v>
      </c>
      <c r="R5" s="15"/>
      <c r="S5" s="15"/>
      <c r="T5" s="15"/>
      <c r="U5" s="16"/>
      <c r="W5" s="15"/>
      <c r="X5" s="15"/>
      <c r="Y5" s="15"/>
      <c r="Z5" s="16"/>
      <c r="AD5" s="15"/>
      <c r="AE5" s="15"/>
      <c r="AF5" s="15"/>
      <c r="AG5" s="16"/>
    </row>
    <row r="6" spans="1:43" ht="16" customHeight="1">
      <c r="A6" s="201"/>
      <c r="C6" s="61" t="s">
        <v>1</v>
      </c>
      <c r="D6" s="55">
        <f t="shared" ref="D6:D15" si="0">L61</f>
        <v>3384057.6</v>
      </c>
      <c r="E6" s="56">
        <f t="shared" ref="E6:E15" si="1">L76</f>
        <v>4609528</v>
      </c>
      <c r="F6" s="57">
        <f t="shared" ref="F6:F15" si="2">L91</f>
        <v>15173928</v>
      </c>
      <c r="G6" s="55">
        <f t="shared" ref="G6:G15" si="3">L106</f>
        <v>22366344</v>
      </c>
      <c r="H6" s="56">
        <f t="shared" ref="H6:H15" si="4">L121</f>
        <v>43891848</v>
      </c>
      <c r="I6" s="58">
        <f>D6*0.1</f>
        <v>338405.76</v>
      </c>
      <c r="J6" s="59">
        <f t="shared" ref="J6:J16" si="5">E6*0.1</f>
        <v>460952.80000000005</v>
      </c>
      <c r="K6" s="105">
        <f t="shared" ref="K6:K16" si="6">F6*0.1</f>
        <v>1517392.8</v>
      </c>
      <c r="L6" s="60">
        <f t="shared" ref="L6:L16" si="7">G6*0.1</f>
        <v>2236634.4</v>
      </c>
      <c r="M6" s="59">
        <f t="shared" ref="M6:M16" si="8">H6*0.1</f>
        <v>4389184.8</v>
      </c>
      <c r="R6" s="14"/>
      <c r="S6" s="14"/>
      <c r="T6" s="14"/>
      <c r="U6" s="14"/>
      <c r="V6" s="14"/>
      <c r="W6" s="14"/>
      <c r="X6" s="14"/>
      <c r="Y6" s="14"/>
      <c r="Z6" s="14"/>
      <c r="AA6" s="14"/>
      <c r="AD6" s="14"/>
      <c r="AE6" s="14"/>
      <c r="AF6" s="14"/>
      <c r="AG6" s="14"/>
      <c r="AH6" s="14"/>
      <c r="AI6" s="14"/>
      <c r="AJ6" s="14"/>
      <c r="AK6" s="14"/>
      <c r="AL6" s="14"/>
      <c r="AM6" s="14"/>
      <c r="AN6" s="14"/>
      <c r="AO6" s="14"/>
      <c r="AP6" s="14"/>
      <c r="AQ6" s="14"/>
    </row>
    <row r="7" spans="1:43" ht="15.5">
      <c r="A7" s="201"/>
      <c r="C7" s="61" t="s">
        <v>2</v>
      </c>
      <c r="D7" s="55">
        <f t="shared" si="0"/>
        <v>19191480</v>
      </c>
      <c r="E7" s="56">
        <f t="shared" si="1"/>
        <v>25471600</v>
      </c>
      <c r="F7" s="57">
        <f t="shared" si="2"/>
        <v>85685600</v>
      </c>
      <c r="G7" s="55">
        <f t="shared" si="3"/>
        <v>130284000</v>
      </c>
      <c r="H7" s="56">
        <f t="shared" si="4"/>
        <v>248463600</v>
      </c>
      <c r="I7" s="58">
        <f t="shared" ref="I7:I16" si="9">D7*0.1</f>
        <v>1919148</v>
      </c>
      <c r="J7" s="59">
        <f t="shared" si="5"/>
        <v>2547160</v>
      </c>
      <c r="K7" s="105">
        <f t="shared" si="6"/>
        <v>8568560</v>
      </c>
      <c r="L7" s="60">
        <f t="shared" si="7"/>
        <v>13028400</v>
      </c>
      <c r="M7" s="59">
        <f t="shared" si="8"/>
        <v>24846360</v>
      </c>
      <c r="R7" s="14"/>
      <c r="S7" s="14"/>
      <c r="T7" s="14"/>
      <c r="U7" s="14"/>
      <c r="V7" s="14"/>
      <c r="W7" s="14"/>
      <c r="X7" s="14"/>
      <c r="Y7" s="14"/>
      <c r="Z7" s="14"/>
      <c r="AA7" s="14"/>
      <c r="AD7" s="14"/>
      <c r="AE7" s="14"/>
      <c r="AF7" s="14"/>
      <c r="AG7" s="14"/>
      <c r="AH7" s="14"/>
      <c r="AI7" s="14"/>
      <c r="AJ7" s="14"/>
      <c r="AK7" s="14"/>
      <c r="AL7" s="14"/>
      <c r="AM7" s="14"/>
      <c r="AN7" s="14"/>
      <c r="AO7" s="14"/>
      <c r="AP7" s="14"/>
      <c r="AQ7" s="14"/>
    </row>
    <row r="8" spans="1:43" ht="15.5">
      <c r="A8" s="201"/>
      <c r="C8" s="61" t="s">
        <v>3</v>
      </c>
      <c r="D8" s="55">
        <f t="shared" si="0"/>
        <v>20598855.199999999</v>
      </c>
      <c r="E8" s="56">
        <f t="shared" si="1"/>
        <v>27339517.333333332</v>
      </c>
      <c r="F8" s="57">
        <f t="shared" si="2"/>
        <v>91969210.666666657</v>
      </c>
      <c r="G8" s="55">
        <f t="shared" si="3"/>
        <v>139838160</v>
      </c>
      <c r="H8" s="56">
        <f t="shared" si="4"/>
        <v>266684264</v>
      </c>
      <c r="I8" s="58">
        <f t="shared" si="9"/>
        <v>2059885.52</v>
      </c>
      <c r="J8" s="59">
        <f t="shared" si="5"/>
        <v>2733951.7333333334</v>
      </c>
      <c r="K8" s="105">
        <f t="shared" si="6"/>
        <v>9196921.0666666664</v>
      </c>
      <c r="L8" s="60">
        <f t="shared" si="7"/>
        <v>13983816</v>
      </c>
      <c r="M8" s="59">
        <f t="shared" si="8"/>
        <v>26668426.400000002</v>
      </c>
      <c r="R8" s="14"/>
      <c r="S8" s="14"/>
      <c r="T8" s="14"/>
      <c r="U8" s="14"/>
      <c r="V8" s="14"/>
      <c r="W8" s="14"/>
      <c r="X8" s="14"/>
      <c r="Y8" s="14"/>
      <c r="Z8" s="14"/>
      <c r="AA8" s="14"/>
      <c r="AD8" s="14"/>
      <c r="AE8" s="14"/>
      <c r="AF8" s="14"/>
      <c r="AG8" s="14"/>
      <c r="AH8" s="14"/>
      <c r="AI8" s="14"/>
      <c r="AJ8" s="14"/>
      <c r="AK8" s="14"/>
      <c r="AL8" s="14"/>
      <c r="AM8" s="14"/>
      <c r="AN8" s="14"/>
      <c r="AO8" s="14"/>
      <c r="AP8" s="14"/>
      <c r="AQ8" s="14"/>
    </row>
    <row r="9" spans="1:43" ht="15.5">
      <c r="A9" s="201"/>
      <c r="C9" s="61" t="s">
        <v>4</v>
      </c>
      <c r="D9" s="55">
        <f t="shared" si="0"/>
        <v>31600800</v>
      </c>
      <c r="E9" s="56">
        <f t="shared" si="1"/>
        <v>41888000</v>
      </c>
      <c r="F9" s="57">
        <f t="shared" si="2"/>
        <v>141064000</v>
      </c>
      <c r="G9" s="55">
        <f t="shared" si="3"/>
        <v>214368000</v>
      </c>
      <c r="H9" s="56">
        <f t="shared" si="4"/>
        <v>409024000</v>
      </c>
      <c r="I9" s="58">
        <f t="shared" si="9"/>
        <v>3160080</v>
      </c>
      <c r="J9" s="59">
        <f t="shared" si="5"/>
        <v>4188800</v>
      </c>
      <c r="K9" s="105">
        <f t="shared" si="6"/>
        <v>14106400</v>
      </c>
      <c r="L9" s="60">
        <f t="shared" si="7"/>
        <v>21436800</v>
      </c>
      <c r="M9" s="59">
        <f t="shared" si="8"/>
        <v>40902400</v>
      </c>
      <c r="R9" s="14"/>
      <c r="S9" s="14"/>
      <c r="T9" s="14"/>
      <c r="U9" s="14"/>
      <c r="V9" s="14"/>
      <c r="W9" s="14"/>
      <c r="X9" s="14"/>
      <c r="Y9" s="14"/>
      <c r="Z9" s="14"/>
      <c r="AA9" s="14"/>
      <c r="AD9" s="14"/>
      <c r="AE9" s="14"/>
      <c r="AF9" s="14"/>
      <c r="AG9" s="14"/>
      <c r="AH9" s="14"/>
      <c r="AI9" s="14"/>
      <c r="AJ9" s="14"/>
      <c r="AK9" s="14"/>
      <c r="AL9" s="14"/>
      <c r="AM9" s="14"/>
      <c r="AN9" s="14"/>
      <c r="AO9" s="14"/>
      <c r="AP9" s="14"/>
      <c r="AQ9" s="14"/>
    </row>
    <row r="10" spans="1:43" ht="15.5">
      <c r="A10" s="201"/>
      <c r="C10" s="61" t="s">
        <v>5</v>
      </c>
      <c r="D10" s="55">
        <f t="shared" si="0"/>
        <v>2636916.3346680002</v>
      </c>
      <c r="E10" s="56">
        <f t="shared" si="1"/>
        <v>3465858.8025599993</v>
      </c>
      <c r="F10" s="57">
        <f t="shared" si="2"/>
        <v>11778336.462199999</v>
      </c>
      <c r="G10" s="55">
        <f t="shared" si="3"/>
        <v>17669694.80892</v>
      </c>
      <c r="H10" s="56">
        <f t="shared" si="4"/>
        <v>33964967.380960003</v>
      </c>
      <c r="I10" s="58">
        <f t="shared" si="9"/>
        <v>263691.63346680003</v>
      </c>
      <c r="J10" s="59">
        <f t="shared" si="5"/>
        <v>346585.88025599997</v>
      </c>
      <c r="K10" s="105">
        <f t="shared" si="6"/>
        <v>1177833.64622</v>
      </c>
      <c r="L10" s="60">
        <f t="shared" si="7"/>
        <v>1766969.480892</v>
      </c>
      <c r="M10" s="59">
        <f t="shared" si="8"/>
        <v>3396496.7380960006</v>
      </c>
      <c r="R10" s="14"/>
      <c r="S10" s="14"/>
      <c r="T10" s="14"/>
      <c r="U10" s="14"/>
      <c r="V10" s="14"/>
      <c r="W10" s="14"/>
      <c r="X10" s="14"/>
      <c r="Y10" s="14"/>
      <c r="Z10" s="14"/>
      <c r="AA10" s="14"/>
      <c r="AD10" s="14"/>
      <c r="AE10" s="14"/>
      <c r="AF10" s="14"/>
      <c r="AG10" s="14"/>
      <c r="AH10" s="14"/>
      <c r="AI10" s="14"/>
      <c r="AJ10" s="14"/>
      <c r="AK10" s="14"/>
      <c r="AL10" s="14"/>
      <c r="AM10" s="14"/>
      <c r="AN10" s="14"/>
      <c r="AO10" s="14"/>
      <c r="AP10" s="14"/>
      <c r="AQ10" s="14"/>
    </row>
    <row r="11" spans="1:43" ht="15.5">
      <c r="A11" s="201"/>
      <c r="C11" s="61" t="s">
        <v>6</v>
      </c>
      <c r="D11" s="55">
        <f t="shared" si="0"/>
        <v>5377680</v>
      </c>
      <c r="E11" s="56">
        <f t="shared" si="1"/>
        <v>6976200</v>
      </c>
      <c r="F11" s="57">
        <f t="shared" si="2"/>
        <v>23931600</v>
      </c>
      <c r="G11" s="55">
        <f t="shared" si="3"/>
        <v>35897400</v>
      </c>
      <c r="H11" s="56">
        <f t="shared" si="4"/>
        <v>69300000</v>
      </c>
      <c r="I11" s="58">
        <f t="shared" si="9"/>
        <v>537768</v>
      </c>
      <c r="J11" s="59">
        <f t="shared" si="5"/>
        <v>697620</v>
      </c>
      <c r="K11" s="105">
        <f t="shared" si="6"/>
        <v>2393160</v>
      </c>
      <c r="L11" s="60">
        <f t="shared" si="7"/>
        <v>3589740</v>
      </c>
      <c r="M11" s="59">
        <f t="shared" si="8"/>
        <v>6930000</v>
      </c>
      <c r="R11" s="14"/>
      <c r="S11" s="14"/>
      <c r="T11" s="14"/>
      <c r="U11" s="14"/>
      <c r="V11" s="14"/>
      <c r="W11" s="14"/>
      <c r="X11" s="14"/>
      <c r="Y11" s="14"/>
      <c r="Z11" s="14"/>
      <c r="AA11" s="14"/>
      <c r="AD11" s="14"/>
      <c r="AE11" s="14"/>
      <c r="AF11" s="14"/>
      <c r="AG11" s="14"/>
      <c r="AH11" s="14"/>
      <c r="AI11" s="14"/>
      <c r="AJ11" s="14"/>
      <c r="AK11" s="14"/>
      <c r="AL11" s="14"/>
      <c r="AM11" s="14"/>
      <c r="AN11" s="14"/>
      <c r="AO11" s="14"/>
      <c r="AP11" s="14"/>
      <c r="AQ11" s="14"/>
    </row>
    <row r="12" spans="1:43" ht="15.5">
      <c r="A12" s="201"/>
      <c r="C12" s="61" t="s">
        <v>10</v>
      </c>
      <c r="D12" s="55">
        <f t="shared" si="0"/>
        <v>26413833.600000001</v>
      </c>
      <c r="E12" s="56">
        <f t="shared" si="1"/>
        <v>34248984</v>
      </c>
      <c r="F12" s="57">
        <f t="shared" si="2"/>
        <v>117447792</v>
      </c>
      <c r="G12" s="55">
        <f t="shared" si="3"/>
        <v>176171688</v>
      </c>
      <c r="H12" s="56">
        <f t="shared" si="4"/>
        <v>340423776</v>
      </c>
      <c r="I12" s="58">
        <f t="shared" si="9"/>
        <v>2641383.3600000003</v>
      </c>
      <c r="J12" s="59">
        <f t="shared" si="5"/>
        <v>3424898.4000000004</v>
      </c>
      <c r="K12" s="105">
        <f t="shared" si="6"/>
        <v>11744779.200000001</v>
      </c>
      <c r="L12" s="60">
        <f t="shared" si="7"/>
        <v>17617168.800000001</v>
      </c>
      <c r="M12" s="59">
        <f t="shared" si="8"/>
        <v>34042377.600000001</v>
      </c>
      <c r="R12" s="14"/>
      <c r="S12" s="14"/>
      <c r="T12" s="14"/>
      <c r="U12" s="14"/>
      <c r="V12" s="14"/>
      <c r="W12" s="14"/>
      <c r="X12" s="14"/>
      <c r="Y12" s="14"/>
      <c r="Z12" s="14"/>
      <c r="AA12" s="14"/>
      <c r="AD12" s="14"/>
      <c r="AE12" s="14"/>
      <c r="AF12" s="14"/>
      <c r="AG12" s="14"/>
      <c r="AH12" s="14"/>
      <c r="AI12" s="14"/>
      <c r="AJ12" s="14"/>
      <c r="AK12" s="14"/>
      <c r="AL12" s="14"/>
      <c r="AM12" s="14"/>
      <c r="AN12" s="14"/>
      <c r="AO12" s="14"/>
      <c r="AP12" s="14"/>
      <c r="AQ12" s="14"/>
    </row>
    <row r="13" spans="1:43" ht="15.5">
      <c r="A13" s="201"/>
      <c r="C13" s="61" t="s">
        <v>7</v>
      </c>
      <c r="D13" s="55">
        <f t="shared" si="0"/>
        <v>4989600</v>
      </c>
      <c r="E13" s="56">
        <f t="shared" si="1"/>
        <v>6468000</v>
      </c>
      <c r="F13" s="57">
        <f t="shared" si="2"/>
        <v>22176000</v>
      </c>
      <c r="G13" s="55">
        <f t="shared" si="3"/>
        <v>33264000</v>
      </c>
      <c r="H13" s="56">
        <f t="shared" si="4"/>
        <v>64310400</v>
      </c>
      <c r="I13" s="58">
        <f t="shared" si="9"/>
        <v>498960</v>
      </c>
      <c r="J13" s="59">
        <f t="shared" si="5"/>
        <v>646800</v>
      </c>
      <c r="K13" s="105">
        <f t="shared" si="6"/>
        <v>2217600</v>
      </c>
      <c r="L13" s="60">
        <f t="shared" si="7"/>
        <v>3326400</v>
      </c>
      <c r="M13" s="59">
        <f t="shared" si="8"/>
        <v>6431040</v>
      </c>
      <c r="R13" s="14"/>
      <c r="S13" s="14"/>
      <c r="T13" s="14"/>
      <c r="U13" s="14"/>
      <c r="V13" s="14"/>
      <c r="W13" s="14"/>
      <c r="X13" s="14"/>
      <c r="Y13" s="14"/>
      <c r="Z13" s="14"/>
      <c r="AA13" s="14"/>
      <c r="AD13" s="14"/>
      <c r="AE13" s="14"/>
      <c r="AF13" s="14"/>
      <c r="AG13" s="14"/>
      <c r="AH13" s="14"/>
      <c r="AI13" s="14"/>
      <c r="AJ13" s="14"/>
      <c r="AK13" s="14"/>
      <c r="AL13" s="14"/>
      <c r="AM13" s="14"/>
      <c r="AN13" s="14"/>
      <c r="AO13" s="14"/>
      <c r="AP13" s="14"/>
      <c r="AQ13" s="14"/>
    </row>
    <row r="14" spans="1:43" ht="15.5">
      <c r="A14" s="201"/>
      <c r="C14" s="61" t="s">
        <v>8</v>
      </c>
      <c r="D14" s="55">
        <f t="shared" si="0"/>
        <v>1568972.0815999999</v>
      </c>
      <c r="E14" s="56">
        <f t="shared" si="1"/>
        <v>2039880.7146666665</v>
      </c>
      <c r="F14" s="57">
        <f t="shared" si="2"/>
        <v>6965975.6319999993</v>
      </c>
      <c r="G14" s="55">
        <f t="shared" si="3"/>
        <v>10438113.018666666</v>
      </c>
      <c r="H14" s="56">
        <f t="shared" si="4"/>
        <v>20225200.277333334</v>
      </c>
      <c r="I14" s="58">
        <f t="shared" si="9"/>
        <v>156897.20816000001</v>
      </c>
      <c r="J14" s="59">
        <f t="shared" si="5"/>
        <v>203988.07146666665</v>
      </c>
      <c r="K14" s="105">
        <f t="shared" si="6"/>
        <v>696597.56319999998</v>
      </c>
      <c r="L14" s="60">
        <f t="shared" si="7"/>
        <v>1043811.3018666666</v>
      </c>
      <c r="M14" s="59">
        <f t="shared" si="8"/>
        <v>2022520.0277333334</v>
      </c>
      <c r="R14" s="14"/>
      <c r="S14" s="14"/>
      <c r="T14" s="14"/>
      <c r="U14" s="14"/>
      <c r="V14" s="14"/>
      <c r="W14" s="14"/>
      <c r="X14" s="14"/>
      <c r="Y14" s="14"/>
      <c r="Z14" s="14"/>
      <c r="AA14" s="14"/>
      <c r="AD14" s="14"/>
      <c r="AE14" s="14"/>
      <c r="AF14" s="14"/>
      <c r="AG14" s="14"/>
      <c r="AH14" s="14"/>
      <c r="AI14" s="14"/>
      <c r="AJ14" s="14"/>
      <c r="AK14" s="14"/>
      <c r="AL14" s="14"/>
      <c r="AM14" s="14"/>
      <c r="AN14" s="14"/>
      <c r="AO14" s="14"/>
      <c r="AP14" s="14"/>
      <c r="AQ14" s="14"/>
    </row>
    <row r="15" spans="1:43" ht="15.5">
      <c r="A15" s="201"/>
      <c r="C15" s="61" t="s">
        <v>27</v>
      </c>
      <c r="D15" s="55">
        <f t="shared" si="0"/>
        <v>441117.60000000003</v>
      </c>
      <c r="E15" s="56">
        <f t="shared" si="1"/>
        <v>569184</v>
      </c>
      <c r="F15" s="57">
        <f t="shared" si="2"/>
        <v>1944712</v>
      </c>
      <c r="G15" s="55">
        <f t="shared" si="3"/>
        <v>2893352</v>
      </c>
      <c r="H15" s="56">
        <f t="shared" si="4"/>
        <v>5691840</v>
      </c>
      <c r="I15" s="58">
        <f t="shared" si="9"/>
        <v>44111.760000000009</v>
      </c>
      <c r="J15" s="59">
        <f t="shared" si="5"/>
        <v>56918.400000000001</v>
      </c>
      <c r="K15" s="105">
        <f t="shared" si="6"/>
        <v>194471.2</v>
      </c>
      <c r="L15" s="60">
        <f t="shared" si="7"/>
        <v>289335.2</v>
      </c>
      <c r="M15" s="59">
        <f t="shared" si="8"/>
        <v>569184</v>
      </c>
      <c r="R15" s="14"/>
      <c r="S15" s="14"/>
      <c r="T15" s="14"/>
      <c r="U15" s="14"/>
      <c r="V15" s="14"/>
      <c r="W15" s="14"/>
      <c r="X15" s="14"/>
      <c r="Y15" s="14"/>
      <c r="Z15" s="14"/>
      <c r="AA15" s="14"/>
      <c r="AD15" s="14"/>
      <c r="AE15" s="14"/>
      <c r="AF15" s="14"/>
      <c r="AG15" s="14"/>
      <c r="AH15" s="14"/>
      <c r="AI15" s="14"/>
      <c r="AJ15" s="14"/>
      <c r="AK15" s="14"/>
      <c r="AL15" s="14"/>
      <c r="AM15" s="14"/>
      <c r="AN15" s="14"/>
      <c r="AO15" s="14"/>
      <c r="AP15" s="14"/>
      <c r="AQ15" s="14"/>
    </row>
    <row r="16" spans="1:43" ht="15.5">
      <c r="A16" s="201"/>
      <c r="C16" s="61" t="s">
        <v>44</v>
      </c>
      <c r="D16" s="55">
        <f t="shared" ref="D16" si="10">L71</f>
        <v>5974584</v>
      </c>
      <c r="E16" s="56">
        <f t="shared" ref="E16" si="11">L86</f>
        <v>7835519.9999999991</v>
      </c>
      <c r="F16" s="57">
        <f t="shared" ref="F16" si="12">L101</f>
        <v>26444880</v>
      </c>
      <c r="G16" s="55">
        <f t="shared" ref="G16" si="13">L116</f>
        <v>39504080</v>
      </c>
      <c r="H16" s="56">
        <f t="shared" ref="H16" si="14">L131</f>
        <v>77049280</v>
      </c>
      <c r="I16" s="62">
        <f t="shared" si="9"/>
        <v>597458.4</v>
      </c>
      <c r="J16" s="63">
        <f t="shared" si="5"/>
        <v>783552</v>
      </c>
      <c r="K16" s="106">
        <f t="shared" si="6"/>
        <v>2644488</v>
      </c>
      <c r="L16" s="64">
        <f t="shared" si="7"/>
        <v>3950408</v>
      </c>
      <c r="M16" s="63">
        <f t="shared" si="8"/>
        <v>7704928</v>
      </c>
      <c r="R16" s="14"/>
      <c r="S16" s="14"/>
      <c r="T16" s="14"/>
      <c r="U16" s="14"/>
      <c r="V16" s="14"/>
      <c r="W16" s="14"/>
      <c r="X16" s="14"/>
      <c r="Y16" s="14"/>
      <c r="Z16" s="14"/>
      <c r="AA16" s="14"/>
      <c r="AD16" s="14"/>
      <c r="AE16" s="14"/>
      <c r="AF16" s="14"/>
      <c r="AG16" s="14"/>
      <c r="AH16" s="14"/>
      <c r="AI16" s="14"/>
      <c r="AJ16" s="14"/>
      <c r="AK16" s="14"/>
      <c r="AL16" s="14"/>
      <c r="AM16" s="14"/>
      <c r="AN16" s="14"/>
      <c r="AO16" s="14"/>
      <c r="AP16" s="14"/>
      <c r="AQ16" s="14"/>
    </row>
    <row r="17" spans="1:43" ht="15.5">
      <c r="A17" s="201"/>
      <c r="C17" s="65"/>
      <c r="D17" s="66">
        <f>SUM(D6:D16)</f>
        <v>122177896.41626798</v>
      </c>
      <c r="E17" s="67">
        <f t="shared" ref="E17:H17" si="15">SUM(E6:E16)</f>
        <v>160912272.85056001</v>
      </c>
      <c r="F17" s="68">
        <f t="shared" si="15"/>
        <v>544582034.76086664</v>
      </c>
      <c r="G17" s="66">
        <f t="shared" si="15"/>
        <v>822694831.82758665</v>
      </c>
      <c r="H17" s="67">
        <f t="shared" si="15"/>
        <v>1579029175.6582932</v>
      </c>
      <c r="I17" s="69">
        <f>SUM(I6:I16)</f>
        <v>12217789.641626799</v>
      </c>
      <c r="J17" s="70">
        <f t="shared" ref="J17" si="16">SUM(J6:J16)</f>
        <v>16091227.285056001</v>
      </c>
      <c r="K17" s="107">
        <f>SUM(K6:K16)</f>
        <v>54458203.476086669</v>
      </c>
      <c r="L17" s="71">
        <f>SUM(L6:L16)</f>
        <v>82269483.182758674</v>
      </c>
      <c r="M17" s="70">
        <f>SUM(M6:M16)</f>
        <v>157902917.56582934</v>
      </c>
      <c r="Q17" s="3"/>
      <c r="R17" s="14"/>
      <c r="S17" s="14"/>
      <c r="T17" s="14"/>
      <c r="U17" s="14"/>
      <c r="V17" s="14"/>
      <c r="W17" s="14"/>
      <c r="X17" s="14"/>
      <c r="Y17" s="14"/>
      <c r="Z17" s="14"/>
      <c r="AA17" s="14"/>
      <c r="AD17" s="14"/>
      <c r="AE17" s="14"/>
      <c r="AF17" s="14"/>
      <c r="AG17" s="14"/>
      <c r="AH17" s="14"/>
      <c r="AI17" s="14"/>
      <c r="AJ17" s="14"/>
      <c r="AK17" s="14"/>
      <c r="AL17" s="14"/>
      <c r="AM17" s="14"/>
      <c r="AN17" s="14"/>
      <c r="AO17" s="14"/>
      <c r="AP17" s="14"/>
      <c r="AQ17" s="14"/>
    </row>
    <row r="18" spans="1:43" s="8" customFormat="1" ht="42" customHeight="1">
      <c r="C18" s="30"/>
      <c r="D18" s="203"/>
      <c r="E18" s="203"/>
      <c r="F18" s="203"/>
      <c r="G18" s="203"/>
      <c r="H18" s="203"/>
      <c r="I18" s="203"/>
      <c r="J18" s="203"/>
      <c r="K18" s="203"/>
      <c r="L18" s="203"/>
      <c r="M18" s="203"/>
      <c r="N18" s="12"/>
    </row>
    <row r="19" spans="1:43" ht="39" customHeight="1">
      <c r="A19" s="201" t="s">
        <v>72</v>
      </c>
      <c r="D19" s="202" t="s">
        <v>26</v>
      </c>
      <c r="E19" s="202"/>
      <c r="F19" s="202"/>
      <c r="G19" s="202"/>
      <c r="H19" s="202"/>
      <c r="I19" s="202"/>
      <c r="J19" s="202"/>
      <c r="K19" s="202"/>
      <c r="L19" s="9"/>
      <c r="M19" s="9"/>
      <c r="N19" s="9"/>
    </row>
    <row r="20" spans="1:43" s="79" customFormat="1" ht="25" customHeight="1">
      <c r="A20" s="201"/>
      <c r="C20" s="22" t="s">
        <v>0</v>
      </c>
      <c r="D20" s="83">
        <v>2012</v>
      </c>
      <c r="E20" s="83">
        <v>2013</v>
      </c>
      <c r="F20" s="83">
        <v>2014</v>
      </c>
      <c r="G20" s="83">
        <v>2015</v>
      </c>
      <c r="H20" s="83">
        <v>2016</v>
      </c>
      <c r="I20" s="83">
        <v>2017</v>
      </c>
      <c r="J20" s="83">
        <v>2018</v>
      </c>
      <c r="K20" s="83">
        <v>2019</v>
      </c>
      <c r="L20" s="23"/>
      <c r="R20" s="80"/>
      <c r="S20" s="80"/>
      <c r="T20" s="80"/>
      <c r="U20" s="80"/>
    </row>
    <row r="21" spans="1:43" ht="23" customHeight="1">
      <c r="A21" s="201"/>
      <c r="C21" s="54" t="s">
        <v>1</v>
      </c>
      <c r="D21" s="84">
        <f>11/12</f>
        <v>0.91666666666666663</v>
      </c>
      <c r="E21" s="73">
        <v>1</v>
      </c>
      <c r="F21" s="73">
        <v>1</v>
      </c>
      <c r="G21" s="73">
        <v>1</v>
      </c>
      <c r="H21" s="73">
        <v>1</v>
      </c>
      <c r="I21" s="73">
        <v>1</v>
      </c>
      <c r="J21" s="73">
        <v>1</v>
      </c>
      <c r="K21" s="73">
        <v>1</v>
      </c>
      <c r="L21" s="73"/>
    </row>
    <row r="22" spans="1:43" ht="23" customHeight="1">
      <c r="A22" s="201"/>
      <c r="C22" s="54" t="s">
        <v>2</v>
      </c>
      <c r="D22" s="73"/>
      <c r="E22" s="84">
        <f>1/12</f>
        <v>8.3333333333333329E-2</v>
      </c>
      <c r="F22" s="73">
        <v>1</v>
      </c>
      <c r="G22" s="73">
        <v>1</v>
      </c>
      <c r="H22" s="73">
        <v>1</v>
      </c>
      <c r="I22" s="73">
        <v>1</v>
      </c>
      <c r="J22" s="73">
        <v>1</v>
      </c>
      <c r="K22" s="73">
        <v>1</v>
      </c>
      <c r="L22" s="73"/>
    </row>
    <row r="23" spans="1:43" ht="23" customHeight="1">
      <c r="A23" s="201"/>
      <c r="C23" s="54" t="s">
        <v>3</v>
      </c>
      <c r="D23" s="73"/>
      <c r="E23" s="84">
        <f>1/12</f>
        <v>8.3333333333333329E-2</v>
      </c>
      <c r="F23" s="73">
        <v>1</v>
      </c>
      <c r="G23" s="73">
        <v>1</v>
      </c>
      <c r="H23" s="73">
        <v>1</v>
      </c>
      <c r="I23" s="73">
        <v>1</v>
      </c>
      <c r="J23" s="73">
        <v>1</v>
      </c>
      <c r="K23" s="73">
        <v>1</v>
      </c>
      <c r="L23" s="73"/>
    </row>
    <row r="24" spans="1:43" ht="19" customHeight="1">
      <c r="A24" s="201"/>
      <c r="C24" s="54" t="s">
        <v>4</v>
      </c>
      <c r="D24" s="85"/>
      <c r="E24" s="85"/>
      <c r="F24" s="73">
        <v>1</v>
      </c>
      <c r="G24" s="73">
        <v>1</v>
      </c>
      <c r="H24" s="73">
        <v>1</v>
      </c>
      <c r="I24" s="73">
        <v>1</v>
      </c>
      <c r="J24" s="73">
        <v>1</v>
      </c>
      <c r="K24" s="73">
        <v>1</v>
      </c>
      <c r="L24" s="73"/>
      <c r="R24" s="5"/>
      <c r="S24" s="5"/>
      <c r="T24" s="5"/>
      <c r="U24" s="5"/>
    </row>
    <row r="25" spans="1:43" ht="15.5">
      <c r="A25" s="201"/>
      <c r="C25" s="54" t="s">
        <v>5</v>
      </c>
      <c r="D25" s="73"/>
      <c r="E25" s="73"/>
      <c r="F25" s="73"/>
      <c r="G25" s="73" t="s">
        <v>35</v>
      </c>
      <c r="H25" s="73" t="s">
        <v>35</v>
      </c>
      <c r="I25" s="73" t="s">
        <v>35</v>
      </c>
      <c r="J25" s="73" t="s">
        <v>35</v>
      </c>
      <c r="K25" s="73" t="s">
        <v>35</v>
      </c>
      <c r="L25" s="73"/>
    </row>
    <row r="26" spans="1:43" ht="15.5">
      <c r="A26" s="201"/>
      <c r="C26" s="54" t="s">
        <v>6</v>
      </c>
      <c r="D26" s="73"/>
      <c r="E26" s="73"/>
      <c r="F26" s="73"/>
      <c r="G26" s="73"/>
      <c r="H26" s="73">
        <f>3/12</f>
        <v>0.25</v>
      </c>
      <c r="I26" s="73">
        <v>1</v>
      </c>
      <c r="J26" s="73">
        <v>1</v>
      </c>
      <c r="K26" s="73">
        <v>1</v>
      </c>
      <c r="L26" s="73"/>
    </row>
    <row r="27" spans="1:43" ht="15.5">
      <c r="A27" s="201"/>
      <c r="C27" s="54" t="s">
        <v>10</v>
      </c>
      <c r="D27" s="73"/>
      <c r="E27" s="73"/>
      <c r="F27" s="73"/>
      <c r="G27" s="73"/>
      <c r="H27" s="84">
        <f>1/12</f>
        <v>8.3333333333333329E-2</v>
      </c>
      <c r="I27" s="73">
        <v>1</v>
      </c>
      <c r="J27" s="73">
        <v>1</v>
      </c>
      <c r="K27" s="73">
        <v>1</v>
      </c>
      <c r="L27" s="73"/>
    </row>
    <row r="28" spans="1:43" ht="15.5">
      <c r="A28" s="201"/>
      <c r="C28" s="54" t="s">
        <v>7</v>
      </c>
      <c r="D28" s="73"/>
      <c r="E28" s="73"/>
      <c r="F28" s="73"/>
      <c r="G28" s="73"/>
      <c r="H28" s="73"/>
      <c r="I28" s="73">
        <v>1</v>
      </c>
      <c r="J28" s="73">
        <v>1</v>
      </c>
      <c r="K28" s="73">
        <v>1</v>
      </c>
      <c r="L28" s="73"/>
    </row>
    <row r="29" spans="1:43" ht="15.5">
      <c r="A29" s="201"/>
      <c r="C29" s="54" t="s">
        <v>8</v>
      </c>
      <c r="D29" s="73"/>
      <c r="E29" s="73"/>
      <c r="F29" s="73"/>
      <c r="G29" s="73"/>
      <c r="H29" s="73"/>
      <c r="I29" s="84">
        <f>8/12</f>
        <v>0.66666666666666663</v>
      </c>
      <c r="J29" s="73">
        <v>1</v>
      </c>
      <c r="K29" s="73">
        <v>1</v>
      </c>
      <c r="L29" s="73"/>
    </row>
    <row r="30" spans="1:43" ht="15.5">
      <c r="A30" s="201"/>
      <c r="C30" s="54" t="s">
        <v>27</v>
      </c>
      <c r="D30" s="73"/>
      <c r="E30" s="73"/>
      <c r="F30" s="73"/>
      <c r="G30" s="73"/>
      <c r="H30" s="73"/>
      <c r="I30" s="73"/>
      <c r="J30" s="73"/>
      <c r="K30" s="73">
        <f>10.5/12</f>
        <v>0.875</v>
      </c>
      <c r="L30" s="73"/>
    </row>
    <row r="31" spans="1:43" ht="31">
      <c r="A31" s="201"/>
      <c r="C31" s="54" t="s">
        <v>9</v>
      </c>
      <c r="D31" s="73"/>
      <c r="E31" s="73"/>
      <c r="F31" s="73"/>
      <c r="G31" s="73"/>
      <c r="H31" s="73"/>
      <c r="I31" s="73"/>
      <c r="J31" s="73">
        <v>1</v>
      </c>
      <c r="K31" s="73">
        <v>1</v>
      </c>
      <c r="L31" s="73"/>
    </row>
    <row r="35" spans="1:12" ht="32" customHeight="1">
      <c r="A35" s="201" t="s">
        <v>66</v>
      </c>
      <c r="D35" s="202" t="s">
        <v>40</v>
      </c>
      <c r="E35" s="202"/>
      <c r="F35" s="202"/>
      <c r="G35" s="202"/>
      <c r="H35" s="202"/>
      <c r="I35" s="202"/>
      <c r="J35" s="202"/>
      <c r="K35" s="202"/>
      <c r="L35" s="202"/>
    </row>
    <row r="36" spans="1:12" ht="17" customHeight="1">
      <c r="A36" s="201"/>
      <c r="C36" s="34" t="s">
        <v>0</v>
      </c>
      <c r="D36" s="41">
        <v>2012</v>
      </c>
      <c r="E36" s="42">
        <v>2013</v>
      </c>
      <c r="F36" s="42">
        <v>2014</v>
      </c>
      <c r="G36" s="42">
        <v>2015</v>
      </c>
      <c r="H36" s="42">
        <v>2016</v>
      </c>
      <c r="I36" s="42">
        <v>2017</v>
      </c>
      <c r="J36" s="42">
        <v>2018</v>
      </c>
      <c r="K36" s="42">
        <v>2019</v>
      </c>
      <c r="L36" s="46" t="s">
        <v>48</v>
      </c>
    </row>
    <row r="37" spans="1:12" ht="15.5">
      <c r="A37" s="201"/>
      <c r="C37" s="54" t="s">
        <v>1</v>
      </c>
      <c r="D37" s="43">
        <f>D21*'7.1 Solar projects avoided CO2e'!$B$4</f>
        <v>38500</v>
      </c>
      <c r="E37" s="44">
        <f>E21*'7.1 Solar projects avoided CO2e'!$B$4</f>
        <v>42000</v>
      </c>
      <c r="F37" s="44">
        <f>F21*'7.1 Solar projects avoided CO2e'!$B$4</f>
        <v>42000</v>
      </c>
      <c r="G37" s="44">
        <f>G21*'7.1 Solar projects avoided CO2e'!$B$4</f>
        <v>42000</v>
      </c>
      <c r="H37" s="44">
        <f>H21*'7.1 Solar projects avoided CO2e'!$B$4</f>
        <v>42000</v>
      </c>
      <c r="I37" s="44">
        <f>I21*'7.1 Solar projects avoided CO2e'!$B$4</f>
        <v>42000</v>
      </c>
      <c r="J37" s="44">
        <f>J21*'7.1 Solar projects avoided CO2e'!$B$4</f>
        <v>42000</v>
      </c>
      <c r="K37" s="44">
        <f>K21*'7.1 Solar projects avoided CO2e'!$B$4</f>
        <v>42000</v>
      </c>
      <c r="L37" s="78">
        <f>SUM(D37:K37)</f>
        <v>332500</v>
      </c>
    </row>
    <row r="38" spans="1:12" ht="15.5">
      <c r="A38" s="201"/>
      <c r="C38" s="54" t="s">
        <v>2</v>
      </c>
      <c r="D38" s="45"/>
      <c r="E38" s="44">
        <f>E22*'7.1 Solar projects avoided CO2e'!$B$5</f>
        <v>25000</v>
      </c>
      <c r="F38" s="44">
        <f>F22*'7.1 Solar projects avoided CO2e'!$B$5</f>
        <v>300000</v>
      </c>
      <c r="G38" s="44">
        <f>G22*'7.1 Solar projects avoided CO2e'!$B$5</f>
        <v>300000</v>
      </c>
      <c r="H38" s="44">
        <f>H22*'7.1 Solar projects avoided CO2e'!$B$5</f>
        <v>300000</v>
      </c>
      <c r="I38" s="44">
        <f>I22*'7.1 Solar projects avoided CO2e'!$B$5</f>
        <v>300000</v>
      </c>
      <c r="J38" s="44">
        <f>J22*'7.1 Solar projects avoided CO2e'!$B$5</f>
        <v>300000</v>
      </c>
      <c r="K38" s="44">
        <f>K22*'7.1 Solar projects avoided CO2e'!$B$5</f>
        <v>300000</v>
      </c>
      <c r="L38" s="78">
        <f t="shared" ref="L38:L47" si="17">SUM(D38:K38)</f>
        <v>1825000</v>
      </c>
    </row>
    <row r="39" spans="1:12" ht="15.5">
      <c r="A39" s="201"/>
      <c r="C39" s="54" t="s">
        <v>3</v>
      </c>
      <c r="D39" s="45"/>
      <c r="E39" s="44">
        <f>E23*'7.1 Solar projects avoided CO2e'!$B$6</f>
        <v>26833.333333333332</v>
      </c>
      <c r="F39" s="44">
        <f>F23*'7.1 Solar projects avoided CO2e'!$B$6</f>
        <v>322000</v>
      </c>
      <c r="G39" s="44">
        <f>G23*'7.1 Solar projects avoided CO2e'!$B$6</f>
        <v>322000</v>
      </c>
      <c r="H39" s="44">
        <f>H23*'7.1 Solar projects avoided CO2e'!$B$6</f>
        <v>322000</v>
      </c>
      <c r="I39" s="44">
        <f>I23*'7.1 Solar projects avoided CO2e'!$B$6</f>
        <v>322000</v>
      </c>
      <c r="J39" s="44">
        <f>J23*'7.1 Solar projects avoided CO2e'!$B$6</f>
        <v>322000</v>
      </c>
      <c r="K39" s="44">
        <f>K23*'7.1 Solar projects avoided CO2e'!$B$6</f>
        <v>322000</v>
      </c>
      <c r="L39" s="78">
        <f t="shared" si="17"/>
        <v>1958833.3333333333</v>
      </c>
    </row>
    <row r="40" spans="1:12" ht="15.5">
      <c r="A40" s="201"/>
      <c r="C40" s="54" t="s">
        <v>4</v>
      </c>
      <c r="D40" s="45"/>
      <c r="E40" s="44"/>
      <c r="F40" s="44">
        <f>F24*'7.1 Solar projects avoided CO2e'!$B$7</f>
        <v>500000</v>
      </c>
      <c r="G40" s="44">
        <f>G24*'7.1 Solar projects avoided CO2e'!$B$7</f>
        <v>500000</v>
      </c>
      <c r="H40" s="44">
        <f>H24*'7.1 Solar projects avoided CO2e'!$B$7</f>
        <v>500000</v>
      </c>
      <c r="I40" s="44">
        <f>I24*'7.1 Solar projects avoided CO2e'!$B$7</f>
        <v>500000</v>
      </c>
      <c r="J40" s="44">
        <f>J24*'7.1 Solar projects avoided CO2e'!$B$7</f>
        <v>500000</v>
      </c>
      <c r="K40" s="44">
        <f>K24*'7.1 Solar projects avoided CO2e'!$B$7</f>
        <v>500000</v>
      </c>
      <c r="L40" s="78">
        <f t="shared" si="17"/>
        <v>3000000</v>
      </c>
    </row>
    <row r="41" spans="1:12" ht="15.5">
      <c r="A41" s="201"/>
      <c r="C41" s="54" t="s">
        <v>5</v>
      </c>
      <c r="D41" s="45"/>
      <c r="E41" s="103"/>
      <c r="F41" s="103"/>
      <c r="G41" s="103">
        <v>2068.5300000000002</v>
      </c>
      <c r="H41" s="103">
        <v>73838.64</v>
      </c>
      <c r="I41" s="103">
        <v>24366.959999999999</v>
      </c>
      <c r="J41" s="103">
        <v>113429.44</v>
      </c>
      <c r="K41" s="103">
        <v>29085.697499999998</v>
      </c>
      <c r="L41" s="78">
        <f t="shared" si="17"/>
        <v>242789.26750000002</v>
      </c>
    </row>
    <row r="42" spans="1:12" ht="15.5">
      <c r="A42" s="201"/>
      <c r="C42" s="54" t="s">
        <v>6</v>
      </c>
      <c r="D42" s="45"/>
      <c r="E42" s="44"/>
      <c r="F42" s="44"/>
      <c r="G42" s="44"/>
      <c r="H42" s="44">
        <f>H26*'7.1 Solar projects avoided CO2e'!$B$9</f>
        <v>37500</v>
      </c>
      <c r="I42" s="44">
        <f>I26*'7.1 Solar projects avoided CO2e'!$B$9</f>
        <v>150000</v>
      </c>
      <c r="J42" s="44">
        <f>J26*'7.1 Solar projects avoided CO2e'!$B$9</f>
        <v>150000</v>
      </c>
      <c r="K42" s="44">
        <f>K26*'7.1 Solar projects avoided CO2e'!$B$9</f>
        <v>150000</v>
      </c>
      <c r="L42" s="78">
        <f t="shared" si="17"/>
        <v>487500</v>
      </c>
    </row>
    <row r="43" spans="1:12" ht="15.5">
      <c r="A43" s="201"/>
      <c r="C43" s="54" t="s">
        <v>10</v>
      </c>
      <c r="D43" s="45"/>
      <c r="E43" s="44"/>
      <c r="F43" s="44"/>
      <c r="G43" s="44"/>
      <c r="H43" s="44">
        <f>H27*'7.1 Solar projects avoided CO2e'!$B$10</f>
        <v>64500</v>
      </c>
      <c r="I43" s="44">
        <f>I27*'7.1 Solar projects avoided CO2e'!$B$10</f>
        <v>774000</v>
      </c>
      <c r="J43" s="44">
        <f>J27*'7.1 Solar projects avoided CO2e'!$B$10</f>
        <v>774000</v>
      </c>
      <c r="K43" s="44">
        <f>K27*'7.1 Solar projects avoided CO2e'!$B$10</f>
        <v>774000</v>
      </c>
      <c r="L43" s="78">
        <f t="shared" si="17"/>
        <v>2386500</v>
      </c>
    </row>
    <row r="44" spans="1:12" ht="15.5">
      <c r="A44" s="201"/>
      <c r="C44" s="54" t="s">
        <v>7</v>
      </c>
      <c r="D44" s="45"/>
      <c r="E44" s="44"/>
      <c r="F44" s="44"/>
      <c r="G44" s="44"/>
      <c r="H44" s="44"/>
      <c r="I44" s="44">
        <f>I28*'7.1 Solar projects avoided CO2e'!$B$11</f>
        <v>150000</v>
      </c>
      <c r="J44" s="44">
        <f>J28*'7.1 Solar projects avoided CO2e'!$B$11</f>
        <v>150000</v>
      </c>
      <c r="K44" s="44">
        <f>K28*'7.1 Solar projects avoided CO2e'!$B$11</f>
        <v>150000</v>
      </c>
      <c r="L44" s="78">
        <f t="shared" si="17"/>
        <v>450000</v>
      </c>
    </row>
    <row r="45" spans="1:12" ht="15.5">
      <c r="A45" s="201"/>
      <c r="C45" s="54" t="s">
        <v>8</v>
      </c>
      <c r="D45" s="45"/>
      <c r="E45" s="44"/>
      <c r="F45" s="44"/>
      <c r="G45" s="44"/>
      <c r="H45" s="44"/>
      <c r="I45" s="44">
        <f>I29*'7.1 Solar projects avoided CO2e'!$B$12</f>
        <v>35228.666666666664</v>
      </c>
      <c r="J45" s="44">
        <f>J29*'7.1 Solar projects avoided CO2e'!$B$12</f>
        <v>52843</v>
      </c>
      <c r="K45" s="44">
        <f>K29*'7.1 Solar projects avoided CO2e'!$B$12</f>
        <v>52843</v>
      </c>
      <c r="L45" s="78">
        <f t="shared" si="17"/>
        <v>140914.66666666666</v>
      </c>
    </row>
    <row r="46" spans="1:12" ht="15.5">
      <c r="A46" s="201"/>
      <c r="C46" s="54" t="s">
        <v>27</v>
      </c>
      <c r="D46" s="45"/>
      <c r="E46" s="44"/>
      <c r="F46" s="44"/>
      <c r="G46" s="44"/>
      <c r="H46" s="44"/>
      <c r="I46" s="44"/>
      <c r="J46" s="44"/>
      <c r="K46" s="44">
        <f>K30*'7.1 Solar projects avoided CO2e'!$B$13</f>
        <v>38500</v>
      </c>
      <c r="L46" s="78">
        <f t="shared" si="17"/>
        <v>38500</v>
      </c>
    </row>
    <row r="47" spans="1:12" ht="31">
      <c r="A47" s="201"/>
      <c r="C47" s="54" t="s">
        <v>9</v>
      </c>
      <c r="D47" s="45"/>
      <c r="E47" s="44"/>
      <c r="F47" s="44"/>
      <c r="G47" s="44"/>
      <c r="H47" s="44"/>
      <c r="I47" s="44"/>
      <c r="J47" s="44">
        <f>J31*'7.1 Solar projects avoided CO2e'!$B$14</f>
        <v>265000</v>
      </c>
      <c r="K47" s="44">
        <f>K31*'7.1 Solar projects avoided CO2e'!$B$14</f>
        <v>265000</v>
      </c>
      <c r="L47" s="78">
        <f t="shared" si="17"/>
        <v>530000</v>
      </c>
    </row>
    <row r="48" spans="1:12" ht="15.5">
      <c r="A48" s="201"/>
      <c r="C48" s="53"/>
      <c r="D48" s="108">
        <f>SUM(D37:D47)</f>
        <v>38500</v>
      </c>
      <c r="E48" s="109">
        <f t="shared" ref="E48:L48" si="18">SUM(E37:E47)</f>
        <v>93833.333333333328</v>
      </c>
      <c r="F48" s="109">
        <f t="shared" si="18"/>
        <v>1164000</v>
      </c>
      <c r="G48" s="109">
        <f t="shared" si="18"/>
        <v>1166068.53</v>
      </c>
      <c r="H48" s="109">
        <f t="shared" si="18"/>
        <v>1339838.6399999999</v>
      </c>
      <c r="I48" s="109">
        <f t="shared" si="18"/>
        <v>2297595.6266666665</v>
      </c>
      <c r="J48" s="109">
        <f t="shared" si="18"/>
        <v>2669272.44</v>
      </c>
      <c r="K48" s="109">
        <f t="shared" si="18"/>
        <v>2623428.6974999998</v>
      </c>
      <c r="L48" s="110">
        <f t="shared" si="18"/>
        <v>11392537.2675</v>
      </c>
    </row>
    <row r="50" spans="1:22" ht="54" customHeight="1">
      <c r="A50" s="201" t="s">
        <v>65</v>
      </c>
      <c r="D50" s="202" t="s">
        <v>28</v>
      </c>
      <c r="E50" s="202"/>
      <c r="F50" s="202"/>
      <c r="G50" s="202"/>
      <c r="H50" s="202"/>
      <c r="I50" s="202"/>
      <c r="J50" s="202"/>
      <c r="K50" s="202"/>
    </row>
    <row r="51" spans="1:22" ht="16" customHeight="1">
      <c r="A51" s="201"/>
      <c r="C51" s="86"/>
      <c r="D51" s="87">
        <v>2012</v>
      </c>
      <c r="E51" s="87">
        <v>2013</v>
      </c>
      <c r="F51" s="87">
        <v>2014</v>
      </c>
      <c r="G51" s="87">
        <v>2015</v>
      </c>
      <c r="H51" s="87">
        <v>2016</v>
      </c>
      <c r="I51" s="87">
        <v>2017</v>
      </c>
      <c r="J51" s="87">
        <v>2018</v>
      </c>
      <c r="K51" s="87">
        <v>2019</v>
      </c>
      <c r="N51" s="86"/>
      <c r="O51" s="87"/>
      <c r="P51" s="87"/>
      <c r="Q51" s="87"/>
      <c r="R51" s="87"/>
      <c r="S51" s="87"/>
      <c r="T51" s="87"/>
      <c r="U51" s="87"/>
      <c r="V51" s="87"/>
    </row>
    <row r="52" spans="1:22" ht="15.5">
      <c r="A52" s="201"/>
      <c r="C52" s="24">
        <v>7.0000000000000007E-2</v>
      </c>
      <c r="D52" s="88">
        <f>'7.2 SCC discount rates'!D5</f>
        <v>8.8703999999999983</v>
      </c>
      <c r="E52" s="88">
        <f>'7.2 SCC discount rates'!D6</f>
        <v>9.24</v>
      </c>
      <c r="F52" s="88">
        <f>'7.2 SCC discount rates'!D7</f>
        <v>9.6096000000000004</v>
      </c>
      <c r="G52" s="88">
        <f>'7.2 SCC discount rates'!D8</f>
        <v>9.9792000000000023</v>
      </c>
      <c r="H52" s="88">
        <f>'7.2 SCC discount rates'!D9</f>
        <v>10.348800000000001</v>
      </c>
      <c r="I52" s="88">
        <f>'7.2 SCC discount rates'!D10</f>
        <v>10.718399999999999</v>
      </c>
      <c r="J52" s="88">
        <f>'7.2 SCC discount rates'!D11</f>
        <v>11.087999999999999</v>
      </c>
      <c r="K52" s="88">
        <f>'7.2 SCC discount rates'!D12</f>
        <v>11.457600000000001</v>
      </c>
      <c r="N52" s="24"/>
      <c r="O52" s="88"/>
      <c r="P52" s="88"/>
      <c r="Q52" s="88"/>
      <c r="R52" s="88"/>
      <c r="S52" s="88"/>
      <c r="T52" s="88"/>
      <c r="U52" s="88"/>
      <c r="V52" s="88"/>
    </row>
    <row r="53" spans="1:22" ht="15.5">
      <c r="A53" s="201"/>
      <c r="C53" s="24">
        <v>0.05</v>
      </c>
      <c r="D53" s="88">
        <f>'7.2 SCC discount rates'!E5</f>
        <v>13.552</v>
      </c>
      <c r="E53" s="88">
        <f>'7.2 SCC discount rates'!E6</f>
        <v>13.552</v>
      </c>
      <c r="F53" s="88">
        <f>'7.2 SCC discount rates'!E7</f>
        <v>13.552</v>
      </c>
      <c r="G53" s="88">
        <f>'7.2 SCC discount rates'!E8</f>
        <v>13.552</v>
      </c>
      <c r="H53" s="88">
        <f>'7.2 SCC discount rates'!E9</f>
        <v>13.552</v>
      </c>
      <c r="I53" s="88">
        <f>'7.2 SCC discount rates'!E10</f>
        <v>13.552</v>
      </c>
      <c r="J53" s="88">
        <f>'7.2 SCC discount rates'!E11</f>
        <v>14.783999999999999</v>
      </c>
      <c r="K53" s="88">
        <f>'7.2 SCC discount rates'!E12</f>
        <v>14.783999999999999</v>
      </c>
      <c r="N53" s="24"/>
      <c r="O53" s="88"/>
      <c r="P53" s="88"/>
      <c r="Q53" s="88"/>
      <c r="R53" s="88"/>
      <c r="S53" s="88"/>
      <c r="T53" s="88"/>
      <c r="U53" s="88"/>
      <c r="V53" s="88"/>
    </row>
    <row r="54" spans="1:22" ht="15.5">
      <c r="A54" s="201"/>
      <c r="C54" s="24">
        <v>0.03</v>
      </c>
      <c r="D54" s="88">
        <f>'7.2 SCC discount rates'!F5</f>
        <v>40.655999999999999</v>
      </c>
      <c r="E54" s="88">
        <f>'7.2 SCC discount rates'!F6</f>
        <v>41.887999999999998</v>
      </c>
      <c r="F54" s="88">
        <f>'7.2 SCC discount rates'!F7</f>
        <v>43.12</v>
      </c>
      <c r="G54" s="88">
        <f>'7.2 SCC discount rates'!F8</f>
        <v>44.351999999999997</v>
      </c>
      <c r="H54" s="88">
        <f>'7.2 SCC discount rates'!F9</f>
        <v>46.816000000000003</v>
      </c>
      <c r="I54" s="88">
        <f>'7.2 SCC discount rates'!F10</f>
        <v>48.048000000000002</v>
      </c>
      <c r="J54" s="88">
        <f>'7.2 SCC discount rates'!F11</f>
        <v>49.28</v>
      </c>
      <c r="K54" s="88">
        <f>'7.2 SCC discount rates'!F12</f>
        <v>50.512</v>
      </c>
      <c r="N54" s="24"/>
      <c r="O54" s="88"/>
      <c r="P54" s="88"/>
      <c r="Q54" s="88"/>
      <c r="R54" s="88"/>
      <c r="S54" s="88"/>
      <c r="T54" s="88"/>
      <c r="U54" s="88"/>
      <c r="V54" s="88"/>
    </row>
    <row r="55" spans="1:22" ht="15.5">
      <c r="A55" s="201"/>
      <c r="C55" s="25">
        <v>2.5000000000000001E-2</v>
      </c>
      <c r="D55" s="88">
        <f>'7.2 SCC discount rates'!F5</f>
        <v>40.655999999999999</v>
      </c>
      <c r="E55" s="88">
        <f>'7.2 SCC discount rates'!G6</f>
        <v>66.528000000000006</v>
      </c>
      <c r="F55" s="88">
        <f>'7.2 SCC discount rates'!G7</f>
        <v>67.760000000000005</v>
      </c>
      <c r="G55" s="88">
        <f>'7.2 SCC discount rates'!G8</f>
        <v>68.992000000000004</v>
      </c>
      <c r="H55" s="88">
        <f>'7.2 SCC discount rates'!G9</f>
        <v>70.224000000000004</v>
      </c>
      <c r="I55" s="88">
        <f>'7.2 SCC discount rates'!G10</f>
        <v>72.688000000000002</v>
      </c>
      <c r="J55" s="88">
        <f>'7.2 SCC discount rates'!G11</f>
        <v>73.92</v>
      </c>
      <c r="K55" s="88">
        <f>'7.2 SCC discount rates'!G12</f>
        <v>75.152000000000001</v>
      </c>
      <c r="N55" s="25"/>
      <c r="O55" s="88"/>
      <c r="P55" s="88"/>
      <c r="Q55" s="88"/>
      <c r="R55" s="88"/>
      <c r="S55" s="88"/>
      <c r="T55" s="88"/>
      <c r="U55" s="88"/>
      <c r="V55" s="88"/>
    </row>
    <row r="56" spans="1:22" ht="15.5">
      <c r="A56" s="201"/>
      <c r="C56" s="26" t="s">
        <v>25</v>
      </c>
      <c r="D56" s="88">
        <f>'7.2 SCC discount rates'!H5</f>
        <v>114.57599999999999</v>
      </c>
      <c r="E56" s="88">
        <f>'7.2 SCC discount rates'!H6</f>
        <v>121.968</v>
      </c>
      <c r="F56" s="88">
        <f>'7.2 SCC discount rates'!H7</f>
        <v>126.896</v>
      </c>
      <c r="G56" s="88">
        <f>'7.2 SCC discount rates'!H8</f>
        <v>129.35999999999999</v>
      </c>
      <c r="H56" s="88">
        <f>'7.2 SCC discount rates'!H9</f>
        <v>133.05600000000001</v>
      </c>
      <c r="I56" s="88">
        <f>'7.2 SCC discount rates'!H10</f>
        <v>137.98400000000001</v>
      </c>
      <c r="J56" s="88">
        <f>'7.2 SCC discount rates'!H11</f>
        <v>142.91200000000001</v>
      </c>
      <c r="K56" s="88">
        <f>'7.2 SCC discount rates'!H12</f>
        <v>147.84</v>
      </c>
      <c r="N56" s="26"/>
      <c r="O56" s="88"/>
      <c r="P56" s="88"/>
      <c r="Q56" s="88"/>
      <c r="R56" s="88"/>
      <c r="S56" s="88"/>
      <c r="T56" s="88"/>
      <c r="U56" s="88"/>
      <c r="V56" s="88"/>
    </row>
    <row r="57" spans="1:22" ht="15.5">
      <c r="C57" s="54"/>
      <c r="D57" s="89"/>
      <c r="E57" s="89"/>
      <c r="F57" s="89"/>
      <c r="G57" s="89"/>
      <c r="H57" s="89"/>
      <c r="I57" s="89"/>
      <c r="J57" s="89"/>
      <c r="K57" s="89"/>
    </row>
    <row r="58" spans="1:22">
      <c r="C58" s="19"/>
    </row>
    <row r="59" spans="1:22" ht="28" customHeight="1">
      <c r="A59" s="201" t="s">
        <v>67</v>
      </c>
      <c r="C59" s="19"/>
      <c r="D59" s="202" t="s">
        <v>29</v>
      </c>
      <c r="E59" s="202"/>
      <c r="F59" s="202"/>
      <c r="G59" s="202"/>
      <c r="H59" s="202"/>
      <c r="I59" s="202"/>
      <c r="J59" s="202"/>
      <c r="K59" s="202"/>
      <c r="L59" s="74"/>
    </row>
    <row r="60" spans="1:22" s="11" customFormat="1" ht="15.5">
      <c r="A60" s="201"/>
      <c r="C60" s="34" t="s">
        <v>0</v>
      </c>
      <c r="D60" s="87">
        <v>2012</v>
      </c>
      <c r="E60" s="87">
        <v>2013</v>
      </c>
      <c r="F60" s="87">
        <v>2014</v>
      </c>
      <c r="G60" s="87">
        <v>2015</v>
      </c>
      <c r="H60" s="87">
        <v>2016</v>
      </c>
      <c r="I60" s="87">
        <v>2017</v>
      </c>
      <c r="J60" s="87">
        <v>2018</v>
      </c>
      <c r="K60" s="87">
        <v>2019</v>
      </c>
      <c r="L60" s="111" t="s">
        <v>24</v>
      </c>
    </row>
    <row r="61" spans="1:22" ht="17" customHeight="1">
      <c r="A61" s="201"/>
      <c r="C61" s="54" t="s">
        <v>1</v>
      </c>
      <c r="D61" s="90">
        <f t="shared" ref="D61:K61" si="19">D37*D$52</f>
        <v>341510.39999999991</v>
      </c>
      <c r="E61" s="90">
        <f t="shared" si="19"/>
        <v>388080</v>
      </c>
      <c r="F61" s="90">
        <f t="shared" si="19"/>
        <v>403603.20000000001</v>
      </c>
      <c r="G61" s="90">
        <f t="shared" si="19"/>
        <v>419126.40000000008</v>
      </c>
      <c r="H61" s="90">
        <f t="shared" si="19"/>
        <v>434649.60000000003</v>
      </c>
      <c r="I61" s="90">
        <f t="shared" si="19"/>
        <v>450172.8</v>
      </c>
      <c r="J61" s="90">
        <f t="shared" si="19"/>
        <v>465695.99999999994</v>
      </c>
      <c r="K61" s="90">
        <f t="shared" si="19"/>
        <v>481219.20000000007</v>
      </c>
      <c r="L61" s="112">
        <f t="shared" ref="L61:L71" si="20">SUM(D61:K61)</f>
        <v>3384057.6</v>
      </c>
    </row>
    <row r="62" spans="1:22" ht="15.5">
      <c r="A62" s="201"/>
      <c r="C62" s="54" t="s">
        <v>2</v>
      </c>
      <c r="D62" s="89"/>
      <c r="E62" s="90">
        <f t="shared" ref="E62:K71" si="21">E38*E$52</f>
        <v>231000</v>
      </c>
      <c r="F62" s="90">
        <f t="shared" si="21"/>
        <v>2882880</v>
      </c>
      <c r="G62" s="90">
        <f t="shared" si="21"/>
        <v>2993760.0000000005</v>
      </c>
      <c r="H62" s="90">
        <f t="shared" si="21"/>
        <v>3104640</v>
      </c>
      <c r="I62" s="90">
        <f t="shared" si="21"/>
        <v>3215519.9999999995</v>
      </c>
      <c r="J62" s="90">
        <f t="shared" si="21"/>
        <v>3326399.9999999995</v>
      </c>
      <c r="K62" s="90">
        <f t="shared" si="21"/>
        <v>3437280.0000000005</v>
      </c>
      <c r="L62" s="112">
        <f t="shared" si="20"/>
        <v>19191480</v>
      </c>
    </row>
    <row r="63" spans="1:22" ht="15.5">
      <c r="A63" s="201"/>
      <c r="C63" s="54" t="s">
        <v>3</v>
      </c>
      <c r="D63" s="89"/>
      <c r="E63" s="90">
        <f t="shared" si="21"/>
        <v>247940</v>
      </c>
      <c r="F63" s="90">
        <f t="shared" si="21"/>
        <v>3094291.2</v>
      </c>
      <c r="G63" s="90">
        <f t="shared" si="21"/>
        <v>3213302.4000000008</v>
      </c>
      <c r="H63" s="90">
        <f t="shared" si="21"/>
        <v>3332313.6</v>
      </c>
      <c r="I63" s="90">
        <f t="shared" si="21"/>
        <v>3451324.8</v>
      </c>
      <c r="J63" s="90">
        <f t="shared" si="21"/>
        <v>3570335.9999999995</v>
      </c>
      <c r="K63" s="90">
        <f t="shared" si="21"/>
        <v>3689347.2</v>
      </c>
      <c r="L63" s="112">
        <f t="shared" si="20"/>
        <v>20598855.199999999</v>
      </c>
    </row>
    <row r="64" spans="1:22" ht="15.5">
      <c r="A64" s="201"/>
      <c r="C64" s="54" t="s">
        <v>4</v>
      </c>
      <c r="D64" s="91"/>
      <c r="E64" s="90">
        <f t="shared" si="21"/>
        <v>0</v>
      </c>
      <c r="F64" s="90">
        <f t="shared" si="21"/>
        <v>4804800</v>
      </c>
      <c r="G64" s="90">
        <f t="shared" si="21"/>
        <v>4989600.0000000009</v>
      </c>
      <c r="H64" s="90">
        <f t="shared" si="21"/>
        <v>5174400</v>
      </c>
      <c r="I64" s="90">
        <f t="shared" si="21"/>
        <v>5359199.9999999991</v>
      </c>
      <c r="J64" s="90">
        <f t="shared" si="21"/>
        <v>5544000</v>
      </c>
      <c r="K64" s="90">
        <f t="shared" si="21"/>
        <v>5728800.0000000009</v>
      </c>
      <c r="L64" s="112">
        <f t="shared" si="20"/>
        <v>31600800</v>
      </c>
    </row>
    <row r="65" spans="1:12" ht="15.5">
      <c r="A65" s="201"/>
      <c r="C65" s="54" t="s">
        <v>5</v>
      </c>
      <c r="D65" s="89"/>
      <c r="E65" s="90">
        <f t="shared" si="21"/>
        <v>0</v>
      </c>
      <c r="F65" s="90">
        <f t="shared" si="21"/>
        <v>0</v>
      </c>
      <c r="G65" s="90">
        <f t="shared" si="21"/>
        <v>20642.274576000007</v>
      </c>
      <c r="H65" s="90">
        <f t="shared" si="21"/>
        <v>764141.31763200008</v>
      </c>
      <c r="I65" s="90">
        <f t="shared" si="21"/>
        <v>261174.82406399996</v>
      </c>
      <c r="J65" s="90">
        <f t="shared" si="21"/>
        <v>1257705.63072</v>
      </c>
      <c r="K65" s="90">
        <f t="shared" si="21"/>
        <v>333252.28767600004</v>
      </c>
      <c r="L65" s="112">
        <f t="shared" si="20"/>
        <v>2636916.3346680002</v>
      </c>
    </row>
    <row r="66" spans="1:12" ht="15.5">
      <c r="A66" s="201"/>
      <c r="C66" s="54" t="s">
        <v>6</v>
      </c>
      <c r="D66" s="89"/>
      <c r="E66" s="90">
        <f t="shared" si="21"/>
        <v>0</v>
      </c>
      <c r="F66" s="90">
        <f t="shared" si="21"/>
        <v>0</v>
      </c>
      <c r="G66" s="90">
        <f t="shared" si="21"/>
        <v>0</v>
      </c>
      <c r="H66" s="90">
        <f t="shared" si="21"/>
        <v>388080</v>
      </c>
      <c r="I66" s="90">
        <f t="shared" si="21"/>
        <v>1607759.9999999998</v>
      </c>
      <c r="J66" s="90">
        <f t="shared" si="21"/>
        <v>1663199.9999999998</v>
      </c>
      <c r="K66" s="90">
        <f t="shared" si="21"/>
        <v>1718640.0000000002</v>
      </c>
      <c r="L66" s="112">
        <f t="shared" si="20"/>
        <v>5377680</v>
      </c>
    </row>
    <row r="67" spans="1:12" ht="15.5">
      <c r="A67" s="201"/>
      <c r="C67" s="54" t="s">
        <v>10</v>
      </c>
      <c r="D67" s="89"/>
      <c r="E67" s="90">
        <f t="shared" si="21"/>
        <v>0</v>
      </c>
      <c r="F67" s="90">
        <f t="shared" si="21"/>
        <v>0</v>
      </c>
      <c r="G67" s="90">
        <f t="shared" si="21"/>
        <v>0</v>
      </c>
      <c r="H67" s="90">
        <f t="shared" si="21"/>
        <v>667497.60000000009</v>
      </c>
      <c r="I67" s="90">
        <f t="shared" si="21"/>
        <v>8296041.5999999996</v>
      </c>
      <c r="J67" s="90">
        <f t="shared" si="21"/>
        <v>8582112</v>
      </c>
      <c r="K67" s="90">
        <f t="shared" si="21"/>
        <v>8868182.4000000004</v>
      </c>
      <c r="L67" s="112">
        <f t="shared" si="20"/>
        <v>26413833.600000001</v>
      </c>
    </row>
    <row r="68" spans="1:12" ht="15.5">
      <c r="A68" s="201"/>
      <c r="C68" s="54" t="s">
        <v>7</v>
      </c>
      <c r="D68" s="89"/>
      <c r="E68" s="90">
        <f t="shared" si="21"/>
        <v>0</v>
      </c>
      <c r="F68" s="90">
        <f t="shared" si="21"/>
        <v>0</v>
      </c>
      <c r="G68" s="90">
        <f t="shared" si="21"/>
        <v>0</v>
      </c>
      <c r="H68" s="90">
        <f t="shared" si="21"/>
        <v>0</v>
      </c>
      <c r="I68" s="90">
        <f t="shared" si="21"/>
        <v>1607759.9999999998</v>
      </c>
      <c r="J68" s="90">
        <f t="shared" si="21"/>
        <v>1663199.9999999998</v>
      </c>
      <c r="K68" s="90">
        <f t="shared" si="21"/>
        <v>1718640.0000000002</v>
      </c>
      <c r="L68" s="112">
        <f t="shared" si="20"/>
        <v>4989600</v>
      </c>
    </row>
    <row r="69" spans="1:12" ht="15.5">
      <c r="A69" s="201"/>
      <c r="C69" s="54" t="s">
        <v>8</v>
      </c>
      <c r="D69" s="89"/>
      <c r="E69" s="90">
        <f t="shared" si="21"/>
        <v>0</v>
      </c>
      <c r="F69" s="90">
        <f t="shared" si="21"/>
        <v>0</v>
      </c>
      <c r="G69" s="90">
        <f t="shared" si="21"/>
        <v>0</v>
      </c>
      <c r="H69" s="90">
        <f t="shared" si="21"/>
        <v>0</v>
      </c>
      <c r="I69" s="90">
        <f t="shared" si="21"/>
        <v>377594.94079999992</v>
      </c>
      <c r="J69" s="90">
        <f t="shared" si="21"/>
        <v>585923.18400000001</v>
      </c>
      <c r="K69" s="90">
        <f t="shared" si="21"/>
        <v>605453.95680000004</v>
      </c>
      <c r="L69" s="112">
        <f t="shared" si="20"/>
        <v>1568972.0815999999</v>
      </c>
    </row>
    <row r="70" spans="1:12" ht="15.5">
      <c r="A70" s="201"/>
      <c r="C70" s="54" t="s">
        <v>27</v>
      </c>
      <c r="D70" s="89"/>
      <c r="E70" s="90">
        <f t="shared" si="21"/>
        <v>0</v>
      </c>
      <c r="F70" s="90">
        <f t="shared" si="21"/>
        <v>0</v>
      </c>
      <c r="G70" s="90">
        <f t="shared" si="21"/>
        <v>0</v>
      </c>
      <c r="H70" s="90">
        <f t="shared" si="21"/>
        <v>0</v>
      </c>
      <c r="I70" s="90">
        <f t="shared" si="21"/>
        <v>0</v>
      </c>
      <c r="J70" s="90">
        <f t="shared" si="21"/>
        <v>0</v>
      </c>
      <c r="K70" s="90">
        <f t="shared" si="21"/>
        <v>441117.60000000003</v>
      </c>
      <c r="L70" s="112">
        <f t="shared" si="20"/>
        <v>441117.60000000003</v>
      </c>
    </row>
    <row r="71" spans="1:12" ht="31">
      <c r="A71" s="201"/>
      <c r="C71" s="54" t="s">
        <v>9</v>
      </c>
      <c r="D71" s="89"/>
      <c r="E71" s="90">
        <f t="shared" si="21"/>
        <v>0</v>
      </c>
      <c r="F71" s="90">
        <f t="shared" si="21"/>
        <v>0</v>
      </c>
      <c r="G71" s="90">
        <f t="shared" si="21"/>
        <v>0</v>
      </c>
      <c r="H71" s="90">
        <f t="shared" si="21"/>
        <v>0</v>
      </c>
      <c r="I71" s="90">
        <f t="shared" si="21"/>
        <v>0</v>
      </c>
      <c r="J71" s="90">
        <f t="shared" si="21"/>
        <v>2938320</v>
      </c>
      <c r="K71" s="90">
        <f t="shared" si="21"/>
        <v>3036264.0000000005</v>
      </c>
      <c r="L71" s="112">
        <f t="shared" si="20"/>
        <v>5974584</v>
      </c>
    </row>
    <row r="72" spans="1:12" ht="15.5">
      <c r="C72" s="86"/>
      <c r="D72" s="89"/>
      <c r="E72" s="89"/>
      <c r="F72" s="89"/>
      <c r="G72" s="89"/>
      <c r="H72" s="89"/>
      <c r="I72" s="89"/>
      <c r="J72" s="89"/>
      <c r="K72" s="89"/>
      <c r="L72" s="113">
        <f>SUM(L61:L71)</f>
        <v>122177896.41626798</v>
      </c>
    </row>
    <row r="73" spans="1:12">
      <c r="C73" s="19"/>
      <c r="D73" s="75"/>
      <c r="E73" s="75"/>
      <c r="F73" s="75"/>
      <c r="G73" s="75"/>
      <c r="H73" s="75"/>
      <c r="I73" s="75"/>
      <c r="J73" s="75"/>
      <c r="K73" s="75"/>
      <c r="L73" s="75"/>
    </row>
    <row r="74" spans="1:12" ht="33" customHeight="1">
      <c r="A74" s="201" t="s">
        <v>71</v>
      </c>
      <c r="C74" s="19"/>
      <c r="D74" s="202" t="s">
        <v>30</v>
      </c>
      <c r="E74" s="202"/>
      <c r="F74" s="202"/>
      <c r="G74" s="202"/>
      <c r="H74" s="202"/>
      <c r="I74" s="202"/>
      <c r="J74" s="202"/>
      <c r="K74" s="202"/>
      <c r="L74" s="74"/>
    </row>
    <row r="75" spans="1:12" s="11" customFormat="1" ht="15.5">
      <c r="A75" s="201"/>
      <c r="C75" s="34" t="s">
        <v>0</v>
      </c>
      <c r="D75" s="87">
        <v>2012</v>
      </c>
      <c r="E75" s="87">
        <v>2013</v>
      </c>
      <c r="F75" s="87">
        <v>2014</v>
      </c>
      <c r="G75" s="87">
        <v>2015</v>
      </c>
      <c r="H75" s="87">
        <v>2016</v>
      </c>
      <c r="I75" s="87">
        <v>2017</v>
      </c>
      <c r="J75" s="87">
        <v>2018</v>
      </c>
      <c r="K75" s="87">
        <v>2019</v>
      </c>
      <c r="L75" s="111" t="s">
        <v>24</v>
      </c>
    </row>
    <row r="76" spans="1:12" ht="17" customHeight="1">
      <c r="A76" s="201"/>
      <c r="C76" s="54" t="s">
        <v>1</v>
      </c>
      <c r="D76" s="90">
        <f>$D$37*D$53</f>
        <v>521752</v>
      </c>
      <c r="E76" s="90">
        <f t="shared" ref="E76:K86" si="22">E37*E$53</f>
        <v>569184</v>
      </c>
      <c r="F76" s="90">
        <f t="shared" si="22"/>
        <v>569184</v>
      </c>
      <c r="G76" s="90">
        <f t="shared" si="22"/>
        <v>569184</v>
      </c>
      <c r="H76" s="90">
        <f t="shared" si="22"/>
        <v>569184</v>
      </c>
      <c r="I76" s="90">
        <f t="shared" si="22"/>
        <v>569184</v>
      </c>
      <c r="J76" s="90">
        <f t="shared" si="22"/>
        <v>620928</v>
      </c>
      <c r="K76" s="90">
        <f t="shared" si="22"/>
        <v>620928</v>
      </c>
      <c r="L76" s="112">
        <f t="shared" ref="L76:L86" si="23">SUM(D76:K76)</f>
        <v>4609528</v>
      </c>
    </row>
    <row r="77" spans="1:12" ht="15.5">
      <c r="A77" s="201"/>
      <c r="C77" s="54" t="s">
        <v>2</v>
      </c>
      <c r="D77" s="89"/>
      <c r="E77" s="90">
        <f t="shared" si="22"/>
        <v>338800</v>
      </c>
      <c r="F77" s="90">
        <f t="shared" si="22"/>
        <v>4065600</v>
      </c>
      <c r="G77" s="90">
        <f t="shared" si="22"/>
        <v>4065600</v>
      </c>
      <c r="H77" s="90">
        <f t="shared" si="22"/>
        <v>4065600</v>
      </c>
      <c r="I77" s="90">
        <f t="shared" si="22"/>
        <v>4065600</v>
      </c>
      <c r="J77" s="90">
        <f t="shared" si="22"/>
        <v>4435200</v>
      </c>
      <c r="K77" s="90">
        <f t="shared" si="22"/>
        <v>4435200</v>
      </c>
      <c r="L77" s="112">
        <f t="shared" si="23"/>
        <v>25471600</v>
      </c>
    </row>
    <row r="78" spans="1:12" ht="15.5">
      <c r="A78" s="201"/>
      <c r="C78" s="54" t="s">
        <v>3</v>
      </c>
      <c r="D78" s="89"/>
      <c r="E78" s="90">
        <f t="shared" si="22"/>
        <v>363645.33333333331</v>
      </c>
      <c r="F78" s="90">
        <f t="shared" si="22"/>
        <v>4363744</v>
      </c>
      <c r="G78" s="90">
        <f t="shared" si="22"/>
        <v>4363744</v>
      </c>
      <c r="H78" s="90">
        <f t="shared" si="22"/>
        <v>4363744</v>
      </c>
      <c r="I78" s="90">
        <f t="shared" si="22"/>
        <v>4363744</v>
      </c>
      <c r="J78" s="90">
        <f t="shared" si="22"/>
        <v>4760448</v>
      </c>
      <c r="K78" s="90">
        <f t="shared" si="22"/>
        <v>4760448</v>
      </c>
      <c r="L78" s="112">
        <f t="shared" si="23"/>
        <v>27339517.333333332</v>
      </c>
    </row>
    <row r="79" spans="1:12" ht="15.5">
      <c r="A79" s="201"/>
      <c r="C79" s="54" t="s">
        <v>4</v>
      </c>
      <c r="D79" s="91"/>
      <c r="E79" s="90">
        <f t="shared" si="22"/>
        <v>0</v>
      </c>
      <c r="F79" s="90">
        <f t="shared" si="22"/>
        <v>6776000</v>
      </c>
      <c r="G79" s="90">
        <f t="shared" si="22"/>
        <v>6776000</v>
      </c>
      <c r="H79" s="90">
        <f t="shared" si="22"/>
        <v>6776000</v>
      </c>
      <c r="I79" s="90">
        <f t="shared" si="22"/>
        <v>6776000</v>
      </c>
      <c r="J79" s="90">
        <f t="shared" si="22"/>
        <v>7391999.9999999991</v>
      </c>
      <c r="K79" s="90">
        <f t="shared" si="22"/>
        <v>7391999.9999999991</v>
      </c>
      <c r="L79" s="112">
        <f t="shared" si="23"/>
        <v>41888000</v>
      </c>
    </row>
    <row r="80" spans="1:12" ht="15.5">
      <c r="A80" s="201"/>
      <c r="C80" s="54" t="s">
        <v>5</v>
      </c>
      <c r="D80" s="89"/>
      <c r="E80" s="90">
        <f t="shared" si="22"/>
        <v>0</v>
      </c>
      <c r="F80" s="90">
        <f t="shared" si="22"/>
        <v>0</v>
      </c>
      <c r="G80" s="90">
        <f t="shared" si="22"/>
        <v>28032.718560000001</v>
      </c>
      <c r="H80" s="90">
        <f t="shared" si="22"/>
        <v>1000661.24928</v>
      </c>
      <c r="I80" s="90">
        <f t="shared" si="22"/>
        <v>330221.04191999999</v>
      </c>
      <c r="J80" s="90">
        <f t="shared" si="22"/>
        <v>1676940.8409599999</v>
      </c>
      <c r="K80" s="90">
        <f t="shared" si="22"/>
        <v>430002.95183999994</v>
      </c>
      <c r="L80" s="112">
        <f t="shared" si="23"/>
        <v>3465858.8025599993</v>
      </c>
    </row>
    <row r="81" spans="1:13" ht="15.5">
      <c r="A81" s="201"/>
      <c r="C81" s="54" t="s">
        <v>6</v>
      </c>
      <c r="D81" s="89"/>
      <c r="E81" s="90">
        <f t="shared" si="22"/>
        <v>0</v>
      </c>
      <c r="F81" s="90">
        <f t="shared" si="22"/>
        <v>0</v>
      </c>
      <c r="G81" s="90">
        <f t="shared" si="22"/>
        <v>0</v>
      </c>
      <c r="H81" s="90">
        <f t="shared" si="22"/>
        <v>508200</v>
      </c>
      <c r="I81" s="90">
        <f t="shared" si="22"/>
        <v>2032800</v>
      </c>
      <c r="J81" s="90">
        <f t="shared" si="22"/>
        <v>2217600</v>
      </c>
      <c r="K81" s="90">
        <f t="shared" si="22"/>
        <v>2217600</v>
      </c>
      <c r="L81" s="112">
        <f t="shared" si="23"/>
        <v>6976200</v>
      </c>
    </row>
    <row r="82" spans="1:13" ht="15.5">
      <c r="A82" s="201"/>
      <c r="C82" s="54" t="s">
        <v>10</v>
      </c>
      <c r="D82" s="89"/>
      <c r="E82" s="90">
        <f t="shared" si="22"/>
        <v>0</v>
      </c>
      <c r="F82" s="90">
        <f t="shared" si="22"/>
        <v>0</v>
      </c>
      <c r="G82" s="90">
        <f t="shared" si="22"/>
        <v>0</v>
      </c>
      <c r="H82" s="90">
        <f t="shared" si="22"/>
        <v>874104</v>
      </c>
      <c r="I82" s="90">
        <f t="shared" si="22"/>
        <v>10489248</v>
      </c>
      <c r="J82" s="90">
        <f t="shared" si="22"/>
        <v>11442816</v>
      </c>
      <c r="K82" s="90">
        <f t="shared" si="22"/>
        <v>11442816</v>
      </c>
      <c r="L82" s="112">
        <f t="shared" si="23"/>
        <v>34248984</v>
      </c>
    </row>
    <row r="83" spans="1:13" ht="15.5">
      <c r="A83" s="201"/>
      <c r="C83" s="54" t="s">
        <v>7</v>
      </c>
      <c r="D83" s="89"/>
      <c r="E83" s="90">
        <f t="shared" si="22"/>
        <v>0</v>
      </c>
      <c r="F83" s="90">
        <f t="shared" si="22"/>
        <v>0</v>
      </c>
      <c r="G83" s="90">
        <f t="shared" si="22"/>
        <v>0</v>
      </c>
      <c r="H83" s="90">
        <f t="shared" si="22"/>
        <v>0</v>
      </c>
      <c r="I83" s="90">
        <f t="shared" si="22"/>
        <v>2032800</v>
      </c>
      <c r="J83" s="90">
        <f t="shared" si="22"/>
        <v>2217600</v>
      </c>
      <c r="K83" s="90">
        <f t="shared" si="22"/>
        <v>2217600</v>
      </c>
      <c r="L83" s="112">
        <f t="shared" si="23"/>
        <v>6468000</v>
      </c>
    </row>
    <row r="84" spans="1:13" ht="15.5">
      <c r="A84" s="201"/>
      <c r="C84" s="54" t="s">
        <v>8</v>
      </c>
      <c r="D84" s="89"/>
      <c r="E84" s="90">
        <f t="shared" si="22"/>
        <v>0</v>
      </c>
      <c r="F84" s="90">
        <f t="shared" si="22"/>
        <v>0</v>
      </c>
      <c r="G84" s="90">
        <f t="shared" si="22"/>
        <v>0</v>
      </c>
      <c r="H84" s="90">
        <f t="shared" si="22"/>
        <v>0</v>
      </c>
      <c r="I84" s="90">
        <f t="shared" si="22"/>
        <v>477418.89066666662</v>
      </c>
      <c r="J84" s="90">
        <f t="shared" si="22"/>
        <v>781230.91199999989</v>
      </c>
      <c r="K84" s="90">
        <f t="shared" si="22"/>
        <v>781230.91199999989</v>
      </c>
      <c r="L84" s="112">
        <f t="shared" si="23"/>
        <v>2039880.7146666665</v>
      </c>
    </row>
    <row r="85" spans="1:13" ht="15.5">
      <c r="A85" s="201"/>
      <c r="C85" s="54" t="s">
        <v>27</v>
      </c>
      <c r="D85" s="89"/>
      <c r="E85" s="90">
        <f t="shared" ref="E85:J86" si="24">E46*E$53</f>
        <v>0</v>
      </c>
      <c r="F85" s="90">
        <f t="shared" si="24"/>
        <v>0</v>
      </c>
      <c r="G85" s="90">
        <f t="shared" si="24"/>
        <v>0</v>
      </c>
      <c r="H85" s="90">
        <f t="shared" si="24"/>
        <v>0</v>
      </c>
      <c r="I85" s="90">
        <f t="shared" si="24"/>
        <v>0</v>
      </c>
      <c r="J85" s="90">
        <f t="shared" si="22"/>
        <v>0</v>
      </c>
      <c r="K85" s="90">
        <f t="shared" si="22"/>
        <v>569184</v>
      </c>
      <c r="L85" s="112">
        <f t="shared" si="23"/>
        <v>569184</v>
      </c>
    </row>
    <row r="86" spans="1:13" ht="31">
      <c r="A86" s="201"/>
      <c r="C86" s="54" t="s">
        <v>9</v>
      </c>
      <c r="D86" s="89"/>
      <c r="E86" s="90">
        <f t="shared" si="24"/>
        <v>0</v>
      </c>
      <c r="F86" s="90">
        <f t="shared" si="24"/>
        <v>0</v>
      </c>
      <c r="G86" s="90">
        <f t="shared" si="24"/>
        <v>0</v>
      </c>
      <c r="H86" s="90">
        <f t="shared" si="24"/>
        <v>0</v>
      </c>
      <c r="I86" s="90">
        <f t="shared" si="24"/>
        <v>0</v>
      </c>
      <c r="J86" s="90">
        <f t="shared" si="24"/>
        <v>3917759.9999999995</v>
      </c>
      <c r="K86" s="90">
        <f t="shared" si="22"/>
        <v>3917759.9999999995</v>
      </c>
      <c r="L86" s="112">
        <f t="shared" si="23"/>
        <v>7835519.9999999991</v>
      </c>
    </row>
    <row r="87" spans="1:13" ht="15.5">
      <c r="C87" s="86"/>
      <c r="D87" s="89"/>
      <c r="E87" s="89"/>
      <c r="F87" s="89"/>
      <c r="G87" s="89"/>
      <c r="H87" s="89"/>
      <c r="I87" s="89"/>
      <c r="J87" s="89"/>
      <c r="K87" s="89"/>
      <c r="L87" s="113">
        <f>SUM(L76:L86)</f>
        <v>160912272.85056001</v>
      </c>
    </row>
    <row r="88" spans="1:13">
      <c r="C88" s="19"/>
    </row>
    <row r="89" spans="1:13" ht="29" customHeight="1">
      <c r="A89" s="201" t="s">
        <v>70</v>
      </c>
      <c r="C89" s="19"/>
      <c r="D89" s="202" t="s">
        <v>31</v>
      </c>
      <c r="E89" s="202"/>
      <c r="F89" s="202"/>
      <c r="G89" s="202"/>
      <c r="H89" s="202"/>
      <c r="I89" s="202"/>
      <c r="J89" s="202"/>
      <c r="K89" s="202"/>
      <c r="L89" s="74"/>
    </row>
    <row r="90" spans="1:13" s="11" customFormat="1" ht="15.5">
      <c r="A90" s="201"/>
      <c r="C90" s="92" t="s">
        <v>0</v>
      </c>
      <c r="D90" s="93">
        <v>2012</v>
      </c>
      <c r="E90" s="93">
        <v>2013</v>
      </c>
      <c r="F90" s="93">
        <v>2014</v>
      </c>
      <c r="G90" s="93">
        <v>2015</v>
      </c>
      <c r="H90" s="93">
        <v>2016</v>
      </c>
      <c r="I90" s="93">
        <v>2017</v>
      </c>
      <c r="J90" s="93">
        <v>2018</v>
      </c>
      <c r="K90" s="93">
        <v>2019</v>
      </c>
      <c r="L90" s="114" t="s">
        <v>24</v>
      </c>
      <c r="M90" s="20"/>
    </row>
    <row r="91" spans="1:13" ht="17" customHeight="1">
      <c r="A91" s="201"/>
      <c r="C91" s="17" t="s">
        <v>1</v>
      </c>
      <c r="D91" s="76">
        <f>$D$37*D$54</f>
        <v>1565256</v>
      </c>
      <c r="E91" s="76">
        <f t="shared" ref="E91:K101" si="25">E37*E$54</f>
        <v>1759296</v>
      </c>
      <c r="F91" s="76">
        <f t="shared" si="25"/>
        <v>1811040</v>
      </c>
      <c r="G91" s="76">
        <f t="shared" si="25"/>
        <v>1862783.9999999998</v>
      </c>
      <c r="H91" s="76">
        <f t="shared" si="25"/>
        <v>1966272</v>
      </c>
      <c r="I91" s="76">
        <f t="shared" si="25"/>
        <v>2018016</v>
      </c>
      <c r="J91" s="76">
        <f t="shared" si="25"/>
        <v>2069760</v>
      </c>
      <c r="K91" s="76">
        <f t="shared" si="25"/>
        <v>2121504</v>
      </c>
      <c r="L91" s="112">
        <f t="shared" ref="L91:L101" si="26">SUM(D91:K91)</f>
        <v>15173928</v>
      </c>
      <c r="M91" s="7"/>
    </row>
    <row r="92" spans="1:13" ht="15.5">
      <c r="A92" s="201"/>
      <c r="C92" s="17" t="s">
        <v>2</v>
      </c>
      <c r="D92" s="76"/>
      <c r="E92" s="76">
        <f t="shared" si="25"/>
        <v>1047200</v>
      </c>
      <c r="F92" s="76">
        <f t="shared" si="25"/>
        <v>12936000</v>
      </c>
      <c r="G92" s="76">
        <f t="shared" si="25"/>
        <v>13305599.999999998</v>
      </c>
      <c r="H92" s="76">
        <f t="shared" si="25"/>
        <v>14044800</v>
      </c>
      <c r="I92" s="76">
        <f t="shared" si="25"/>
        <v>14414400</v>
      </c>
      <c r="J92" s="76">
        <f t="shared" si="25"/>
        <v>14784000</v>
      </c>
      <c r="K92" s="76">
        <f t="shared" si="25"/>
        <v>15153600</v>
      </c>
      <c r="L92" s="112">
        <f t="shared" si="26"/>
        <v>85685600</v>
      </c>
      <c r="M92" s="7"/>
    </row>
    <row r="93" spans="1:13" ht="15.5">
      <c r="A93" s="201"/>
      <c r="C93" s="17" t="s">
        <v>3</v>
      </c>
      <c r="D93" s="76"/>
      <c r="E93" s="76">
        <f t="shared" si="25"/>
        <v>1123994.6666666665</v>
      </c>
      <c r="F93" s="76">
        <f t="shared" si="25"/>
        <v>13884640</v>
      </c>
      <c r="G93" s="76">
        <f t="shared" si="25"/>
        <v>14281343.999999998</v>
      </c>
      <c r="H93" s="76">
        <f t="shared" si="25"/>
        <v>15074752</v>
      </c>
      <c r="I93" s="76">
        <f t="shared" si="25"/>
        <v>15471456</v>
      </c>
      <c r="J93" s="76">
        <f t="shared" si="25"/>
        <v>15868160</v>
      </c>
      <c r="K93" s="76">
        <f t="shared" si="25"/>
        <v>16264864</v>
      </c>
      <c r="L93" s="112">
        <f t="shared" si="26"/>
        <v>91969210.666666657</v>
      </c>
      <c r="M93" s="7"/>
    </row>
    <row r="94" spans="1:13" ht="15.5">
      <c r="A94" s="201"/>
      <c r="C94" s="17" t="s">
        <v>4</v>
      </c>
      <c r="D94" s="77"/>
      <c r="E94" s="76">
        <f t="shared" si="25"/>
        <v>0</v>
      </c>
      <c r="F94" s="76">
        <f t="shared" si="25"/>
        <v>21560000</v>
      </c>
      <c r="G94" s="76">
        <f t="shared" si="25"/>
        <v>22176000</v>
      </c>
      <c r="H94" s="76">
        <f t="shared" si="25"/>
        <v>23408000</v>
      </c>
      <c r="I94" s="76">
        <f t="shared" si="25"/>
        <v>24024000</v>
      </c>
      <c r="J94" s="76">
        <f t="shared" si="25"/>
        <v>24640000</v>
      </c>
      <c r="K94" s="76">
        <f t="shared" si="25"/>
        <v>25256000</v>
      </c>
      <c r="L94" s="112">
        <f t="shared" si="26"/>
        <v>141064000</v>
      </c>
      <c r="M94" s="7"/>
    </row>
    <row r="95" spans="1:13" ht="15.5">
      <c r="A95" s="201"/>
      <c r="C95" s="17" t="s">
        <v>5</v>
      </c>
      <c r="D95" s="76"/>
      <c r="E95" s="76">
        <f t="shared" si="25"/>
        <v>0</v>
      </c>
      <c r="F95" s="76">
        <f t="shared" si="25"/>
        <v>0</v>
      </c>
      <c r="G95" s="76">
        <f t="shared" si="25"/>
        <v>91743.442559999996</v>
      </c>
      <c r="H95" s="76">
        <f t="shared" si="25"/>
        <v>3456829.77024</v>
      </c>
      <c r="I95" s="76">
        <f t="shared" si="25"/>
        <v>1170783.69408</v>
      </c>
      <c r="J95" s="76">
        <f t="shared" si="25"/>
        <v>5589802.8032</v>
      </c>
      <c r="K95" s="76">
        <f t="shared" si="25"/>
        <v>1469176.7521199998</v>
      </c>
      <c r="L95" s="112">
        <f t="shared" si="26"/>
        <v>11778336.462199999</v>
      </c>
      <c r="M95" s="7"/>
    </row>
    <row r="96" spans="1:13" ht="15.5">
      <c r="A96" s="201"/>
      <c r="C96" s="17" t="s">
        <v>6</v>
      </c>
      <c r="D96" s="76"/>
      <c r="E96" s="76">
        <f t="shared" si="25"/>
        <v>0</v>
      </c>
      <c r="F96" s="76">
        <f t="shared" si="25"/>
        <v>0</v>
      </c>
      <c r="G96" s="76">
        <f t="shared" si="25"/>
        <v>0</v>
      </c>
      <c r="H96" s="76">
        <f t="shared" si="25"/>
        <v>1755600</v>
      </c>
      <c r="I96" s="76">
        <f t="shared" si="25"/>
        <v>7207200</v>
      </c>
      <c r="J96" s="76">
        <f t="shared" si="25"/>
        <v>7392000</v>
      </c>
      <c r="K96" s="76">
        <f t="shared" si="25"/>
        <v>7576800</v>
      </c>
      <c r="L96" s="112">
        <f t="shared" si="26"/>
        <v>23931600</v>
      </c>
      <c r="M96" s="7"/>
    </row>
    <row r="97" spans="1:13" ht="15.5">
      <c r="A97" s="201"/>
      <c r="C97" s="17" t="s">
        <v>10</v>
      </c>
      <c r="D97" s="76"/>
      <c r="E97" s="76">
        <f t="shared" si="25"/>
        <v>0</v>
      </c>
      <c r="F97" s="76">
        <f t="shared" si="25"/>
        <v>0</v>
      </c>
      <c r="G97" s="76">
        <f t="shared" si="25"/>
        <v>0</v>
      </c>
      <c r="H97" s="76">
        <f t="shared" si="25"/>
        <v>3019632</v>
      </c>
      <c r="I97" s="76">
        <f t="shared" si="25"/>
        <v>37189152</v>
      </c>
      <c r="J97" s="76">
        <f t="shared" si="25"/>
        <v>38142720</v>
      </c>
      <c r="K97" s="76">
        <f t="shared" si="25"/>
        <v>39096288</v>
      </c>
      <c r="L97" s="112">
        <f t="shared" si="26"/>
        <v>117447792</v>
      </c>
      <c r="M97" s="7"/>
    </row>
    <row r="98" spans="1:13" ht="15.5">
      <c r="A98" s="201"/>
      <c r="C98" s="17" t="s">
        <v>7</v>
      </c>
      <c r="D98" s="76"/>
      <c r="E98" s="76">
        <f t="shared" si="25"/>
        <v>0</v>
      </c>
      <c r="F98" s="76">
        <f t="shared" si="25"/>
        <v>0</v>
      </c>
      <c r="G98" s="76">
        <f t="shared" si="25"/>
        <v>0</v>
      </c>
      <c r="H98" s="76">
        <f t="shared" si="25"/>
        <v>0</v>
      </c>
      <c r="I98" s="76">
        <f t="shared" si="25"/>
        <v>7207200</v>
      </c>
      <c r="J98" s="76">
        <f t="shared" si="25"/>
        <v>7392000</v>
      </c>
      <c r="K98" s="76">
        <f t="shared" si="25"/>
        <v>7576800</v>
      </c>
      <c r="L98" s="112">
        <f t="shared" si="26"/>
        <v>22176000</v>
      </c>
      <c r="M98" s="7"/>
    </row>
    <row r="99" spans="1:13" ht="15.5">
      <c r="A99" s="201"/>
      <c r="C99" s="17" t="s">
        <v>8</v>
      </c>
      <c r="D99" s="76"/>
      <c r="E99" s="76">
        <f t="shared" si="25"/>
        <v>0</v>
      </c>
      <c r="F99" s="76">
        <f t="shared" si="25"/>
        <v>0</v>
      </c>
      <c r="G99" s="76">
        <f t="shared" si="25"/>
        <v>0</v>
      </c>
      <c r="H99" s="76">
        <f t="shared" si="25"/>
        <v>0</v>
      </c>
      <c r="I99" s="76">
        <f t="shared" si="25"/>
        <v>1692666.976</v>
      </c>
      <c r="J99" s="76">
        <f t="shared" si="25"/>
        <v>2604103.04</v>
      </c>
      <c r="K99" s="76">
        <f t="shared" si="25"/>
        <v>2669205.6159999999</v>
      </c>
      <c r="L99" s="112">
        <f t="shared" si="26"/>
        <v>6965975.6319999993</v>
      </c>
      <c r="M99" s="7"/>
    </row>
    <row r="100" spans="1:13" ht="15.5">
      <c r="A100" s="201"/>
      <c r="C100" s="54" t="s">
        <v>27</v>
      </c>
      <c r="D100" s="76"/>
      <c r="E100" s="76">
        <f t="shared" ref="E100:J101" si="27">E46*E$54</f>
        <v>0</v>
      </c>
      <c r="F100" s="76">
        <f t="shared" si="27"/>
        <v>0</v>
      </c>
      <c r="G100" s="76">
        <f t="shared" si="27"/>
        <v>0</v>
      </c>
      <c r="H100" s="76">
        <f t="shared" si="27"/>
        <v>0</v>
      </c>
      <c r="I100" s="76">
        <f t="shared" si="27"/>
        <v>0</v>
      </c>
      <c r="J100" s="76">
        <f t="shared" si="25"/>
        <v>0</v>
      </c>
      <c r="K100" s="76">
        <f t="shared" si="25"/>
        <v>1944712</v>
      </c>
      <c r="L100" s="112">
        <f t="shared" si="26"/>
        <v>1944712</v>
      </c>
      <c r="M100" s="7"/>
    </row>
    <row r="101" spans="1:13" ht="31">
      <c r="A101" s="201"/>
      <c r="C101" s="17" t="s">
        <v>9</v>
      </c>
      <c r="D101" s="76"/>
      <c r="E101" s="76">
        <f t="shared" si="27"/>
        <v>0</v>
      </c>
      <c r="F101" s="76">
        <f t="shared" si="27"/>
        <v>0</v>
      </c>
      <c r="G101" s="76">
        <f t="shared" si="27"/>
        <v>0</v>
      </c>
      <c r="H101" s="76">
        <f t="shared" si="27"/>
        <v>0</v>
      </c>
      <c r="I101" s="76">
        <f t="shared" si="27"/>
        <v>0</v>
      </c>
      <c r="J101" s="76">
        <f t="shared" si="27"/>
        <v>13059200</v>
      </c>
      <c r="K101" s="76">
        <f t="shared" si="25"/>
        <v>13385680</v>
      </c>
      <c r="L101" s="112">
        <f t="shared" si="26"/>
        <v>26444880</v>
      </c>
      <c r="M101" s="7"/>
    </row>
    <row r="102" spans="1:13" ht="15.5">
      <c r="C102" s="27"/>
      <c r="D102" s="76"/>
      <c r="E102" s="76"/>
      <c r="F102" s="76"/>
      <c r="G102" s="76"/>
      <c r="H102" s="76"/>
      <c r="I102" s="76"/>
      <c r="J102" s="76"/>
      <c r="K102" s="76"/>
      <c r="L102" s="115">
        <f>SUM(L91:L101)</f>
        <v>544582034.76086664</v>
      </c>
      <c r="M102" s="7"/>
    </row>
    <row r="103" spans="1:13" ht="15.5">
      <c r="C103" s="27"/>
      <c r="D103" s="18"/>
      <c r="E103" s="18"/>
      <c r="F103" s="18"/>
      <c r="G103" s="18"/>
      <c r="H103" s="18"/>
      <c r="I103" s="18"/>
      <c r="J103" s="18"/>
      <c r="K103" s="18"/>
      <c r="L103" s="18"/>
      <c r="M103" s="7"/>
    </row>
    <row r="104" spans="1:13" ht="39" customHeight="1">
      <c r="A104" s="201" t="s">
        <v>69</v>
      </c>
      <c r="C104" s="27"/>
      <c r="D104" s="202" t="s">
        <v>32</v>
      </c>
      <c r="E104" s="202"/>
      <c r="F104" s="202"/>
      <c r="G104" s="202"/>
      <c r="H104" s="202"/>
      <c r="I104" s="202"/>
      <c r="J104" s="202"/>
      <c r="K104" s="202"/>
      <c r="L104" s="74"/>
      <c r="M104" s="7"/>
    </row>
    <row r="105" spans="1:13" s="11" customFormat="1" ht="15.5">
      <c r="A105" s="201"/>
      <c r="C105" s="81" t="s">
        <v>0</v>
      </c>
      <c r="D105" s="82">
        <v>2012</v>
      </c>
      <c r="E105" s="82">
        <v>2013</v>
      </c>
      <c r="F105" s="82">
        <v>2014</v>
      </c>
      <c r="G105" s="82">
        <v>2015</v>
      </c>
      <c r="H105" s="82">
        <v>2016</v>
      </c>
      <c r="I105" s="82">
        <v>2017</v>
      </c>
      <c r="J105" s="82">
        <v>2018</v>
      </c>
      <c r="K105" s="82">
        <v>2019</v>
      </c>
      <c r="L105" s="116" t="s">
        <v>24</v>
      </c>
      <c r="M105" s="20"/>
    </row>
    <row r="106" spans="1:13" ht="17" customHeight="1">
      <c r="A106" s="201"/>
      <c r="C106" s="17" t="s">
        <v>1</v>
      </c>
      <c r="D106" s="76">
        <f>$D$37*D$55</f>
        <v>1565256</v>
      </c>
      <c r="E106" s="76">
        <f>E37*E$55</f>
        <v>2794176.0000000005</v>
      </c>
      <c r="F106" s="76">
        <f t="shared" ref="F106:K116" si="28">F37*F$55</f>
        <v>2845920</v>
      </c>
      <c r="G106" s="76">
        <f t="shared" si="28"/>
        <v>2897664</v>
      </c>
      <c r="H106" s="76">
        <f t="shared" si="28"/>
        <v>2949408</v>
      </c>
      <c r="I106" s="76">
        <f t="shared" si="28"/>
        <v>3052896</v>
      </c>
      <c r="J106" s="76">
        <f t="shared" si="28"/>
        <v>3104640</v>
      </c>
      <c r="K106" s="76">
        <f t="shared" si="28"/>
        <v>3156384</v>
      </c>
      <c r="L106" s="112">
        <f t="shared" ref="L106:L116" si="29">SUM(D106:K106)</f>
        <v>22366344</v>
      </c>
      <c r="M106" s="7"/>
    </row>
    <row r="107" spans="1:13" ht="15.5">
      <c r="A107" s="201"/>
      <c r="C107" s="17" t="s">
        <v>2</v>
      </c>
      <c r="D107" s="76"/>
      <c r="E107" s="76">
        <f t="shared" ref="E107:J114" si="30">E38*E$55</f>
        <v>1663200.0000000002</v>
      </c>
      <c r="F107" s="76">
        <f t="shared" si="30"/>
        <v>20328000</v>
      </c>
      <c r="G107" s="76">
        <f t="shared" si="30"/>
        <v>20697600</v>
      </c>
      <c r="H107" s="76">
        <f t="shared" si="30"/>
        <v>21067200</v>
      </c>
      <c r="I107" s="76">
        <f t="shared" si="30"/>
        <v>21806400</v>
      </c>
      <c r="J107" s="76">
        <f t="shared" si="30"/>
        <v>22176000</v>
      </c>
      <c r="K107" s="76">
        <f t="shared" si="28"/>
        <v>22545600</v>
      </c>
      <c r="L107" s="112">
        <f t="shared" si="29"/>
        <v>130284000</v>
      </c>
      <c r="M107" s="7"/>
    </row>
    <row r="108" spans="1:13" ht="15.5">
      <c r="A108" s="201"/>
      <c r="C108" s="17" t="s">
        <v>3</v>
      </c>
      <c r="D108" s="76"/>
      <c r="E108" s="76">
        <f t="shared" si="30"/>
        <v>1785168</v>
      </c>
      <c r="F108" s="76">
        <f t="shared" si="30"/>
        <v>21818720</v>
      </c>
      <c r="G108" s="76">
        <f t="shared" si="30"/>
        <v>22215424</v>
      </c>
      <c r="H108" s="76">
        <f t="shared" si="30"/>
        <v>22612128</v>
      </c>
      <c r="I108" s="76">
        <f t="shared" si="30"/>
        <v>23405536</v>
      </c>
      <c r="J108" s="76">
        <f t="shared" si="30"/>
        <v>23802240</v>
      </c>
      <c r="K108" s="76">
        <f t="shared" si="28"/>
        <v>24198944</v>
      </c>
      <c r="L108" s="112">
        <f t="shared" si="29"/>
        <v>139838160</v>
      </c>
      <c r="M108" s="7"/>
    </row>
    <row r="109" spans="1:13" ht="15.5">
      <c r="A109" s="201"/>
      <c r="C109" s="17" t="s">
        <v>4</v>
      </c>
      <c r="D109" s="77"/>
      <c r="E109" s="76">
        <f t="shared" si="30"/>
        <v>0</v>
      </c>
      <c r="F109" s="76">
        <f t="shared" si="30"/>
        <v>33880000</v>
      </c>
      <c r="G109" s="76">
        <f t="shared" si="30"/>
        <v>34496000</v>
      </c>
      <c r="H109" s="76">
        <f t="shared" si="30"/>
        <v>35112000</v>
      </c>
      <c r="I109" s="76">
        <f t="shared" si="30"/>
        <v>36344000</v>
      </c>
      <c r="J109" s="76">
        <f t="shared" si="30"/>
        <v>36960000</v>
      </c>
      <c r="K109" s="76">
        <f t="shared" si="28"/>
        <v>37576000</v>
      </c>
      <c r="L109" s="112">
        <f t="shared" si="29"/>
        <v>214368000</v>
      </c>
      <c r="M109" s="7"/>
    </row>
    <row r="110" spans="1:13" ht="15.5">
      <c r="A110" s="201"/>
      <c r="C110" s="17" t="s">
        <v>5</v>
      </c>
      <c r="D110" s="76"/>
      <c r="E110" s="76">
        <f t="shared" si="30"/>
        <v>0</v>
      </c>
      <c r="F110" s="76">
        <f t="shared" si="30"/>
        <v>0</v>
      </c>
      <c r="G110" s="76">
        <f t="shared" si="30"/>
        <v>142712.02176000003</v>
      </c>
      <c r="H110" s="76">
        <f t="shared" si="30"/>
        <v>5185244.6553600002</v>
      </c>
      <c r="I110" s="76">
        <f t="shared" si="30"/>
        <v>1771185.5884799999</v>
      </c>
      <c r="J110" s="76">
        <f t="shared" si="30"/>
        <v>8384704.2048000004</v>
      </c>
      <c r="K110" s="76">
        <f t="shared" si="28"/>
        <v>2185848.3385199998</v>
      </c>
      <c r="L110" s="112">
        <f t="shared" si="29"/>
        <v>17669694.80892</v>
      </c>
      <c r="M110" s="7"/>
    </row>
    <row r="111" spans="1:13" ht="15.5">
      <c r="A111" s="201"/>
      <c r="C111" s="17" t="s">
        <v>6</v>
      </c>
      <c r="D111" s="76"/>
      <c r="E111" s="76">
        <f t="shared" si="30"/>
        <v>0</v>
      </c>
      <c r="F111" s="76">
        <f t="shared" si="30"/>
        <v>0</v>
      </c>
      <c r="G111" s="76">
        <f t="shared" si="30"/>
        <v>0</v>
      </c>
      <c r="H111" s="76">
        <f t="shared" si="30"/>
        <v>2633400</v>
      </c>
      <c r="I111" s="76">
        <f t="shared" si="30"/>
        <v>10903200</v>
      </c>
      <c r="J111" s="76">
        <f t="shared" si="30"/>
        <v>11088000</v>
      </c>
      <c r="K111" s="76">
        <f t="shared" si="28"/>
        <v>11272800</v>
      </c>
      <c r="L111" s="112">
        <f t="shared" si="29"/>
        <v>35897400</v>
      </c>
      <c r="M111" s="7"/>
    </row>
    <row r="112" spans="1:13" ht="15.5">
      <c r="A112" s="201"/>
      <c r="C112" s="17" t="s">
        <v>10</v>
      </c>
      <c r="D112" s="76"/>
      <c r="E112" s="76">
        <f t="shared" si="30"/>
        <v>0</v>
      </c>
      <c r="F112" s="76">
        <f t="shared" si="30"/>
        <v>0</v>
      </c>
      <c r="G112" s="76">
        <f t="shared" si="30"/>
        <v>0</v>
      </c>
      <c r="H112" s="76">
        <f t="shared" si="30"/>
        <v>4529448</v>
      </c>
      <c r="I112" s="76">
        <f t="shared" si="30"/>
        <v>56260512</v>
      </c>
      <c r="J112" s="76">
        <f t="shared" si="30"/>
        <v>57214080</v>
      </c>
      <c r="K112" s="76">
        <f t="shared" si="28"/>
        <v>58167648</v>
      </c>
      <c r="L112" s="112">
        <f t="shared" si="29"/>
        <v>176171688</v>
      </c>
      <c r="M112" s="7"/>
    </row>
    <row r="113" spans="1:13" ht="15.5">
      <c r="A113" s="201"/>
      <c r="C113" s="17" t="s">
        <v>7</v>
      </c>
      <c r="D113" s="76"/>
      <c r="E113" s="76">
        <f t="shared" si="30"/>
        <v>0</v>
      </c>
      <c r="F113" s="76">
        <f t="shared" si="30"/>
        <v>0</v>
      </c>
      <c r="G113" s="76">
        <f t="shared" si="30"/>
        <v>0</v>
      </c>
      <c r="H113" s="76">
        <f t="shared" si="30"/>
        <v>0</v>
      </c>
      <c r="I113" s="76">
        <f t="shared" si="30"/>
        <v>10903200</v>
      </c>
      <c r="J113" s="76">
        <f t="shared" si="30"/>
        <v>11088000</v>
      </c>
      <c r="K113" s="76">
        <f t="shared" si="28"/>
        <v>11272800</v>
      </c>
      <c r="L113" s="112">
        <f t="shared" si="29"/>
        <v>33264000</v>
      </c>
      <c r="M113" s="7"/>
    </row>
    <row r="114" spans="1:13" ht="15.5">
      <c r="A114" s="201"/>
      <c r="C114" s="17" t="s">
        <v>8</v>
      </c>
      <c r="D114" s="76"/>
      <c r="E114" s="76">
        <f t="shared" si="30"/>
        <v>0</v>
      </c>
      <c r="F114" s="76">
        <f t="shared" si="30"/>
        <v>0</v>
      </c>
      <c r="G114" s="76">
        <f t="shared" si="30"/>
        <v>0</v>
      </c>
      <c r="H114" s="76">
        <f t="shared" si="30"/>
        <v>0</v>
      </c>
      <c r="I114" s="76">
        <f t="shared" si="30"/>
        <v>2560701.3226666665</v>
      </c>
      <c r="J114" s="76">
        <f t="shared" si="30"/>
        <v>3906154.56</v>
      </c>
      <c r="K114" s="76">
        <f t="shared" si="28"/>
        <v>3971257.1359999999</v>
      </c>
      <c r="L114" s="112">
        <f t="shared" si="29"/>
        <v>10438113.018666666</v>
      </c>
      <c r="M114" s="7"/>
    </row>
    <row r="115" spans="1:13" ht="15.5">
      <c r="A115" s="201"/>
      <c r="C115" s="54" t="s">
        <v>27</v>
      </c>
      <c r="D115" s="76"/>
      <c r="E115" s="76">
        <f t="shared" ref="E115:J116" si="31">E46*E$55</f>
        <v>0</v>
      </c>
      <c r="F115" s="76">
        <f t="shared" si="31"/>
        <v>0</v>
      </c>
      <c r="G115" s="76">
        <f t="shared" si="31"/>
        <v>0</v>
      </c>
      <c r="H115" s="76">
        <f t="shared" si="31"/>
        <v>0</v>
      </c>
      <c r="I115" s="76">
        <f t="shared" si="31"/>
        <v>0</v>
      </c>
      <c r="J115" s="76">
        <f t="shared" si="31"/>
        <v>0</v>
      </c>
      <c r="K115" s="76">
        <f t="shared" si="28"/>
        <v>2893352</v>
      </c>
      <c r="L115" s="112">
        <f t="shared" si="29"/>
        <v>2893352</v>
      </c>
      <c r="M115" s="7"/>
    </row>
    <row r="116" spans="1:13" ht="31">
      <c r="A116" s="201"/>
      <c r="C116" s="17" t="s">
        <v>9</v>
      </c>
      <c r="D116" s="76"/>
      <c r="E116" s="76">
        <f t="shared" si="31"/>
        <v>0</v>
      </c>
      <c r="F116" s="76">
        <f t="shared" si="31"/>
        <v>0</v>
      </c>
      <c r="G116" s="76">
        <f t="shared" si="31"/>
        <v>0</v>
      </c>
      <c r="H116" s="76">
        <f t="shared" si="31"/>
        <v>0</v>
      </c>
      <c r="I116" s="76">
        <f t="shared" si="31"/>
        <v>0</v>
      </c>
      <c r="J116" s="76">
        <f t="shared" si="31"/>
        <v>19588800</v>
      </c>
      <c r="K116" s="76">
        <f t="shared" si="28"/>
        <v>19915280</v>
      </c>
      <c r="L116" s="112">
        <f t="shared" si="29"/>
        <v>39504080</v>
      </c>
      <c r="M116" s="7"/>
    </row>
    <row r="117" spans="1:13" ht="15.5">
      <c r="C117" s="27"/>
      <c r="D117" s="76"/>
      <c r="E117" s="76"/>
      <c r="F117" s="76"/>
      <c r="G117" s="76"/>
      <c r="H117" s="76"/>
      <c r="I117" s="76"/>
      <c r="J117" s="76"/>
      <c r="K117" s="76"/>
      <c r="L117" s="115">
        <f>SUM(L106:L116)</f>
        <v>822694831.82758665</v>
      </c>
      <c r="M117" s="7"/>
    </row>
    <row r="118" spans="1:13" ht="15.5">
      <c r="C118" s="27"/>
      <c r="D118" s="18"/>
      <c r="E118" s="18"/>
      <c r="F118" s="18"/>
      <c r="G118" s="18"/>
      <c r="H118" s="18"/>
      <c r="I118" s="18"/>
      <c r="J118" s="18"/>
      <c r="K118" s="18"/>
      <c r="L118" s="18"/>
      <c r="M118" s="7"/>
    </row>
    <row r="119" spans="1:13" ht="45" customHeight="1">
      <c r="A119" s="201" t="s">
        <v>68</v>
      </c>
      <c r="C119" s="27"/>
      <c r="D119" s="202" t="s">
        <v>33</v>
      </c>
      <c r="E119" s="202"/>
      <c r="F119" s="202"/>
      <c r="G119" s="202"/>
      <c r="H119" s="202"/>
      <c r="I119" s="202"/>
      <c r="J119" s="202"/>
      <c r="K119" s="202"/>
      <c r="L119" s="74"/>
      <c r="M119" s="7"/>
    </row>
    <row r="120" spans="1:13" ht="15.5">
      <c r="A120" s="201"/>
      <c r="C120" s="81" t="s">
        <v>0</v>
      </c>
      <c r="D120" s="82">
        <v>2012</v>
      </c>
      <c r="E120" s="82">
        <v>2013</v>
      </c>
      <c r="F120" s="82">
        <v>2014</v>
      </c>
      <c r="G120" s="82">
        <v>2015</v>
      </c>
      <c r="H120" s="82">
        <v>2016</v>
      </c>
      <c r="I120" s="82">
        <v>2017</v>
      </c>
      <c r="J120" s="82">
        <v>2018</v>
      </c>
      <c r="K120" s="82">
        <v>2019</v>
      </c>
      <c r="L120" s="116" t="s">
        <v>24</v>
      </c>
      <c r="M120" s="7"/>
    </row>
    <row r="121" spans="1:13" ht="17" customHeight="1">
      <c r="A121" s="201"/>
      <c r="C121" s="17" t="s">
        <v>1</v>
      </c>
      <c r="D121" s="76">
        <f>$D$37*D$56</f>
        <v>4411176</v>
      </c>
      <c r="E121" s="76">
        <f t="shared" ref="E121:K131" si="32">E37*E$56</f>
        <v>5122656</v>
      </c>
      <c r="F121" s="76">
        <f t="shared" si="32"/>
        <v>5329632</v>
      </c>
      <c r="G121" s="76">
        <f t="shared" si="32"/>
        <v>5433119.9999999991</v>
      </c>
      <c r="H121" s="76">
        <f t="shared" si="32"/>
        <v>5588352.0000000009</v>
      </c>
      <c r="I121" s="76">
        <f t="shared" si="32"/>
        <v>5795328</v>
      </c>
      <c r="J121" s="76">
        <f t="shared" si="32"/>
        <v>6002304</v>
      </c>
      <c r="K121" s="76">
        <f t="shared" si="32"/>
        <v>6209280</v>
      </c>
      <c r="L121" s="112">
        <f t="shared" ref="L121:L131" si="33">SUM(D121:K121)</f>
        <v>43891848</v>
      </c>
      <c r="M121" s="7"/>
    </row>
    <row r="122" spans="1:13" ht="15.5">
      <c r="A122" s="201"/>
      <c r="C122" s="17" t="s">
        <v>2</v>
      </c>
      <c r="D122" s="76"/>
      <c r="E122" s="76">
        <f t="shared" si="32"/>
        <v>3049200</v>
      </c>
      <c r="F122" s="76">
        <f t="shared" si="32"/>
        <v>38068800</v>
      </c>
      <c r="G122" s="76">
        <f t="shared" si="32"/>
        <v>38807999.999999993</v>
      </c>
      <c r="H122" s="76">
        <f t="shared" si="32"/>
        <v>39916800</v>
      </c>
      <c r="I122" s="76">
        <f t="shared" si="32"/>
        <v>41395200</v>
      </c>
      <c r="J122" s="76">
        <f t="shared" si="32"/>
        <v>42873600</v>
      </c>
      <c r="K122" s="76">
        <f t="shared" si="32"/>
        <v>44352000</v>
      </c>
      <c r="L122" s="112">
        <f t="shared" si="33"/>
        <v>248463600</v>
      </c>
      <c r="M122" s="7"/>
    </row>
    <row r="123" spans="1:13" ht="15.5">
      <c r="A123" s="201"/>
      <c r="C123" s="17" t="s">
        <v>3</v>
      </c>
      <c r="D123" s="76"/>
      <c r="E123" s="76">
        <f t="shared" si="32"/>
        <v>3272808</v>
      </c>
      <c r="F123" s="76">
        <f t="shared" si="32"/>
        <v>40860512</v>
      </c>
      <c r="G123" s="76">
        <f t="shared" si="32"/>
        <v>41653919.999999993</v>
      </c>
      <c r="H123" s="76">
        <f t="shared" si="32"/>
        <v>42844032.000000007</v>
      </c>
      <c r="I123" s="76">
        <f t="shared" si="32"/>
        <v>44430848</v>
      </c>
      <c r="J123" s="76">
        <f t="shared" si="32"/>
        <v>46017664</v>
      </c>
      <c r="K123" s="76">
        <f t="shared" si="32"/>
        <v>47604480</v>
      </c>
      <c r="L123" s="112">
        <f t="shared" si="33"/>
        <v>266684264</v>
      </c>
      <c r="M123" s="7"/>
    </row>
    <row r="124" spans="1:13" ht="15.5">
      <c r="A124" s="201"/>
      <c r="C124" s="17" t="s">
        <v>4</v>
      </c>
      <c r="D124" s="77"/>
      <c r="E124" s="76">
        <f t="shared" si="32"/>
        <v>0</v>
      </c>
      <c r="F124" s="76">
        <f t="shared" si="32"/>
        <v>63448000</v>
      </c>
      <c r="G124" s="76">
        <f t="shared" si="32"/>
        <v>64679999.999999993</v>
      </c>
      <c r="H124" s="76">
        <f t="shared" si="32"/>
        <v>66528000.000000007</v>
      </c>
      <c r="I124" s="76">
        <f t="shared" si="32"/>
        <v>68992000</v>
      </c>
      <c r="J124" s="76">
        <f t="shared" si="32"/>
        <v>71456000</v>
      </c>
      <c r="K124" s="76">
        <f t="shared" si="32"/>
        <v>73920000</v>
      </c>
      <c r="L124" s="112">
        <f t="shared" si="33"/>
        <v>409024000</v>
      </c>
      <c r="M124" s="7"/>
    </row>
    <row r="125" spans="1:13" ht="15.5">
      <c r="A125" s="201"/>
      <c r="C125" s="17" t="s">
        <v>5</v>
      </c>
      <c r="D125" s="76"/>
      <c r="E125" s="76">
        <f t="shared" si="32"/>
        <v>0</v>
      </c>
      <c r="F125" s="76">
        <f t="shared" si="32"/>
        <v>0</v>
      </c>
      <c r="G125" s="76">
        <f t="shared" si="32"/>
        <v>267585.04080000002</v>
      </c>
      <c r="H125" s="76">
        <f t="shared" si="32"/>
        <v>9824674.0838400014</v>
      </c>
      <c r="I125" s="76">
        <f t="shared" si="32"/>
        <v>3362250.6086400002</v>
      </c>
      <c r="J125" s="76">
        <f t="shared" si="32"/>
        <v>16210428.129280001</v>
      </c>
      <c r="K125" s="76">
        <f t="shared" si="32"/>
        <v>4300029.5183999995</v>
      </c>
      <c r="L125" s="112">
        <f t="shared" si="33"/>
        <v>33964967.380960003</v>
      </c>
      <c r="M125" s="7"/>
    </row>
    <row r="126" spans="1:13" ht="15.5">
      <c r="A126" s="201"/>
      <c r="C126" s="17" t="s">
        <v>6</v>
      </c>
      <c r="D126" s="76"/>
      <c r="E126" s="76">
        <f t="shared" si="32"/>
        <v>0</v>
      </c>
      <c r="F126" s="76">
        <f t="shared" si="32"/>
        <v>0</v>
      </c>
      <c r="G126" s="76">
        <f t="shared" si="32"/>
        <v>0</v>
      </c>
      <c r="H126" s="76">
        <f t="shared" si="32"/>
        <v>4989600</v>
      </c>
      <c r="I126" s="76">
        <f t="shared" si="32"/>
        <v>20697600</v>
      </c>
      <c r="J126" s="76">
        <f t="shared" si="32"/>
        <v>21436800</v>
      </c>
      <c r="K126" s="76">
        <f t="shared" si="32"/>
        <v>22176000</v>
      </c>
      <c r="L126" s="112">
        <f t="shared" si="33"/>
        <v>69300000</v>
      </c>
      <c r="M126" s="7"/>
    </row>
    <row r="127" spans="1:13" ht="15.5">
      <c r="A127" s="201"/>
      <c r="C127" s="17" t="s">
        <v>10</v>
      </c>
      <c r="D127" s="76"/>
      <c r="E127" s="76">
        <f t="shared" si="32"/>
        <v>0</v>
      </c>
      <c r="F127" s="76">
        <f t="shared" si="32"/>
        <v>0</v>
      </c>
      <c r="G127" s="76">
        <f t="shared" si="32"/>
        <v>0</v>
      </c>
      <c r="H127" s="76">
        <f t="shared" si="32"/>
        <v>8582112</v>
      </c>
      <c r="I127" s="76">
        <f t="shared" si="32"/>
        <v>106799616</v>
      </c>
      <c r="J127" s="76">
        <f t="shared" si="32"/>
        <v>110613888</v>
      </c>
      <c r="K127" s="76">
        <f t="shared" si="32"/>
        <v>114428160</v>
      </c>
      <c r="L127" s="112">
        <f t="shared" si="33"/>
        <v>340423776</v>
      </c>
      <c r="M127" s="7"/>
    </row>
    <row r="128" spans="1:13" ht="15.5">
      <c r="A128" s="201"/>
      <c r="C128" s="17" t="s">
        <v>7</v>
      </c>
      <c r="D128" s="76"/>
      <c r="E128" s="76">
        <f t="shared" si="32"/>
        <v>0</v>
      </c>
      <c r="F128" s="76">
        <f t="shared" si="32"/>
        <v>0</v>
      </c>
      <c r="G128" s="76">
        <f t="shared" si="32"/>
        <v>0</v>
      </c>
      <c r="H128" s="76">
        <f t="shared" si="32"/>
        <v>0</v>
      </c>
      <c r="I128" s="76">
        <f t="shared" si="32"/>
        <v>20697600</v>
      </c>
      <c r="J128" s="76">
        <f t="shared" si="32"/>
        <v>21436800</v>
      </c>
      <c r="K128" s="76">
        <f t="shared" si="32"/>
        <v>22176000</v>
      </c>
      <c r="L128" s="112">
        <f t="shared" si="33"/>
        <v>64310400</v>
      </c>
      <c r="M128" s="7"/>
    </row>
    <row r="129" spans="1:13" ht="15.5">
      <c r="A129" s="201"/>
      <c r="C129" s="17" t="s">
        <v>8</v>
      </c>
      <c r="D129" s="76"/>
      <c r="E129" s="76">
        <f t="shared" si="32"/>
        <v>0</v>
      </c>
      <c r="F129" s="76">
        <f t="shared" si="32"/>
        <v>0</v>
      </c>
      <c r="G129" s="76">
        <f t="shared" si="32"/>
        <v>0</v>
      </c>
      <c r="H129" s="76">
        <f t="shared" si="32"/>
        <v>0</v>
      </c>
      <c r="I129" s="76">
        <f t="shared" si="32"/>
        <v>4860992.3413333334</v>
      </c>
      <c r="J129" s="76">
        <f t="shared" si="32"/>
        <v>7551898.8160000006</v>
      </c>
      <c r="K129" s="76">
        <f t="shared" si="32"/>
        <v>7812309.1200000001</v>
      </c>
      <c r="L129" s="112">
        <f t="shared" si="33"/>
        <v>20225200.277333334</v>
      </c>
      <c r="M129" s="7"/>
    </row>
    <row r="130" spans="1:13" ht="15.5">
      <c r="A130" s="201"/>
      <c r="C130" s="17" t="s">
        <v>27</v>
      </c>
      <c r="D130" s="76"/>
      <c r="E130" s="76">
        <f t="shared" ref="E130:J131" si="34">E46*E$56</f>
        <v>0</v>
      </c>
      <c r="F130" s="76">
        <f t="shared" si="34"/>
        <v>0</v>
      </c>
      <c r="G130" s="76">
        <f t="shared" si="34"/>
        <v>0</v>
      </c>
      <c r="H130" s="76">
        <f t="shared" si="34"/>
        <v>0</v>
      </c>
      <c r="I130" s="76">
        <f t="shared" si="34"/>
        <v>0</v>
      </c>
      <c r="J130" s="76">
        <f t="shared" si="34"/>
        <v>0</v>
      </c>
      <c r="K130" s="76">
        <f t="shared" si="32"/>
        <v>5691840</v>
      </c>
      <c r="L130" s="112">
        <f t="shared" si="33"/>
        <v>5691840</v>
      </c>
      <c r="M130" s="7"/>
    </row>
    <row r="131" spans="1:13" ht="31">
      <c r="A131" s="201"/>
      <c r="C131" s="17" t="s">
        <v>9</v>
      </c>
      <c r="D131" s="76"/>
      <c r="E131" s="76">
        <f t="shared" si="34"/>
        <v>0</v>
      </c>
      <c r="F131" s="76">
        <f t="shared" si="34"/>
        <v>0</v>
      </c>
      <c r="G131" s="76">
        <f t="shared" si="34"/>
        <v>0</v>
      </c>
      <c r="H131" s="76">
        <f t="shared" si="34"/>
        <v>0</v>
      </c>
      <c r="I131" s="76">
        <f t="shared" si="34"/>
        <v>0</v>
      </c>
      <c r="J131" s="76">
        <f t="shared" si="34"/>
        <v>37871680</v>
      </c>
      <c r="K131" s="76">
        <f t="shared" si="32"/>
        <v>39177600</v>
      </c>
      <c r="L131" s="112">
        <f t="shared" si="33"/>
        <v>77049280</v>
      </c>
      <c r="M131" s="7"/>
    </row>
    <row r="132" spans="1:13" ht="15.5">
      <c r="C132" s="27"/>
      <c r="D132" s="76"/>
      <c r="E132" s="76"/>
      <c r="F132" s="76"/>
      <c r="G132" s="76"/>
      <c r="H132" s="76"/>
      <c r="I132" s="76"/>
      <c r="J132" s="76"/>
      <c r="K132" s="76"/>
      <c r="L132" s="115">
        <f>SUM(L121:L131)</f>
        <v>1579029175.6582932</v>
      </c>
      <c r="M132" s="7"/>
    </row>
    <row r="133" spans="1:13" ht="15.5">
      <c r="C133" s="27"/>
      <c r="D133" s="18"/>
      <c r="E133" s="18"/>
      <c r="F133" s="18"/>
      <c r="G133" s="18"/>
      <c r="H133" s="18"/>
      <c r="I133" s="18"/>
      <c r="J133" s="18"/>
      <c r="K133" s="18"/>
      <c r="L133" s="18"/>
      <c r="M133" s="7"/>
    </row>
    <row r="134" spans="1:13" ht="15.5">
      <c r="C134" s="27"/>
      <c r="D134" s="18"/>
      <c r="E134" s="18"/>
      <c r="F134" s="18"/>
      <c r="G134" s="18"/>
      <c r="H134" s="18"/>
      <c r="I134" s="18"/>
      <c r="J134" s="18"/>
      <c r="K134" s="18"/>
      <c r="L134" s="18"/>
      <c r="M134" s="7"/>
    </row>
    <row r="135" spans="1:13">
      <c r="C135" s="28"/>
      <c r="D135" s="7"/>
      <c r="E135" s="7"/>
      <c r="F135" s="7"/>
      <c r="G135" s="7"/>
      <c r="H135" s="7"/>
      <c r="I135" s="7"/>
      <c r="J135" s="7"/>
      <c r="K135" s="7"/>
      <c r="L135" s="7"/>
      <c r="M135" s="7"/>
    </row>
    <row r="136" spans="1:13">
      <c r="C136" s="31"/>
      <c r="D136" s="7"/>
      <c r="E136" s="7"/>
      <c r="F136" s="7"/>
      <c r="G136" s="7"/>
      <c r="H136" s="7"/>
      <c r="I136" s="7"/>
      <c r="J136" s="7"/>
      <c r="K136" s="7"/>
      <c r="L136" s="7"/>
      <c r="M136" s="7"/>
    </row>
    <row r="137" spans="1:13">
      <c r="C137" s="31"/>
      <c r="D137" s="7"/>
      <c r="E137" s="7"/>
      <c r="F137" s="7"/>
      <c r="G137" s="7"/>
      <c r="H137" s="7"/>
      <c r="I137" s="7"/>
      <c r="J137" s="7"/>
      <c r="K137" s="7"/>
      <c r="L137" s="7"/>
      <c r="M137" s="7"/>
    </row>
    <row r="138" spans="1:13">
      <c r="C138" s="31"/>
      <c r="D138" s="7"/>
      <c r="E138" s="7"/>
      <c r="F138" s="7"/>
      <c r="G138" s="7"/>
      <c r="H138" s="7"/>
      <c r="I138" s="7"/>
      <c r="J138" s="7"/>
      <c r="K138" s="7"/>
      <c r="L138" s="7"/>
      <c r="M138" s="7"/>
    </row>
    <row r="139" spans="1:13">
      <c r="C139" s="31"/>
      <c r="D139" s="7"/>
      <c r="E139" s="7"/>
      <c r="F139" s="7"/>
      <c r="G139" s="7"/>
      <c r="H139" s="7"/>
      <c r="I139" s="7"/>
      <c r="J139" s="7"/>
      <c r="K139" s="7"/>
      <c r="L139" s="7"/>
      <c r="M139" s="7"/>
    </row>
    <row r="140" spans="1:13">
      <c r="C140" s="31"/>
      <c r="D140" s="7"/>
      <c r="E140" s="7"/>
      <c r="F140" s="7"/>
      <c r="G140" s="7"/>
      <c r="H140" s="7"/>
      <c r="I140" s="7"/>
      <c r="J140" s="7"/>
      <c r="K140" s="7"/>
      <c r="L140" s="7"/>
      <c r="M140" s="7"/>
    </row>
    <row r="141" spans="1:13">
      <c r="C141" s="31"/>
      <c r="D141" s="7"/>
      <c r="E141" s="7"/>
      <c r="F141" s="7"/>
      <c r="G141" s="7"/>
      <c r="H141" s="7"/>
      <c r="I141" s="7"/>
      <c r="J141" s="7"/>
      <c r="K141" s="7"/>
      <c r="L141" s="7"/>
      <c r="M141" s="7"/>
    </row>
    <row r="142" spans="1:13">
      <c r="C142" s="31"/>
      <c r="D142" s="7"/>
      <c r="E142" s="7"/>
      <c r="F142" s="7"/>
      <c r="G142" s="7"/>
      <c r="H142" s="7"/>
      <c r="I142" s="7"/>
      <c r="J142" s="7"/>
      <c r="K142" s="7"/>
      <c r="L142" s="7"/>
      <c r="M142" s="7"/>
    </row>
    <row r="143" spans="1:13">
      <c r="C143" s="31"/>
      <c r="D143" s="7"/>
      <c r="E143" s="7"/>
      <c r="F143" s="7"/>
      <c r="G143" s="7"/>
      <c r="H143" s="7"/>
      <c r="I143" s="7"/>
      <c r="J143" s="7"/>
      <c r="K143" s="7"/>
      <c r="L143" s="7"/>
      <c r="M143" s="7"/>
    </row>
    <row r="144" spans="1:13">
      <c r="C144" s="31"/>
      <c r="D144" s="7"/>
      <c r="E144" s="7"/>
      <c r="F144" s="7"/>
      <c r="G144" s="7"/>
      <c r="H144" s="7"/>
      <c r="I144" s="7"/>
      <c r="J144" s="7"/>
      <c r="K144" s="7"/>
      <c r="L144" s="7"/>
      <c r="M144" s="7"/>
    </row>
    <row r="145" spans="3:13">
      <c r="C145" s="31"/>
      <c r="D145" s="7"/>
      <c r="E145" s="7"/>
      <c r="F145" s="7"/>
      <c r="G145" s="7"/>
      <c r="H145" s="7"/>
      <c r="I145" s="7"/>
      <c r="J145" s="7"/>
      <c r="K145" s="7"/>
      <c r="L145" s="7"/>
      <c r="M145" s="7"/>
    </row>
    <row r="146" spans="3:13">
      <c r="C146" s="31"/>
      <c r="D146" s="7"/>
      <c r="E146" s="7"/>
      <c r="F146" s="7"/>
      <c r="G146" s="7"/>
      <c r="H146" s="7"/>
      <c r="I146" s="7"/>
      <c r="J146" s="7"/>
      <c r="K146" s="7"/>
      <c r="L146" s="7"/>
      <c r="M146" s="7"/>
    </row>
  </sheetData>
  <mergeCells count="22">
    <mergeCell ref="D2:M2"/>
    <mergeCell ref="D3:N3"/>
    <mergeCell ref="D4:H4"/>
    <mergeCell ref="I4:M4"/>
    <mergeCell ref="D89:K89"/>
    <mergeCell ref="D104:K104"/>
    <mergeCell ref="D119:K119"/>
    <mergeCell ref="D18:M18"/>
    <mergeCell ref="D19:K19"/>
    <mergeCell ref="D35:L35"/>
    <mergeCell ref="D50:K50"/>
    <mergeCell ref="D59:K59"/>
    <mergeCell ref="D74:K74"/>
    <mergeCell ref="A104:A116"/>
    <mergeCell ref="A119:A131"/>
    <mergeCell ref="A19:A31"/>
    <mergeCell ref="A3:A17"/>
    <mergeCell ref="A35:A48"/>
    <mergeCell ref="A50:A56"/>
    <mergeCell ref="A59:A71"/>
    <mergeCell ref="A74:A86"/>
    <mergeCell ref="A89:A1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5D46-0DDF-2D44-AB12-868D2A292A12}">
  <dimension ref="A2:R76"/>
  <sheetViews>
    <sheetView zoomScale="70" zoomScaleNormal="70" workbookViewId="0">
      <selection activeCell="B3" sqref="B3"/>
    </sheetView>
  </sheetViews>
  <sheetFormatPr defaultColWidth="10.81640625" defaultRowHeight="15.5"/>
  <cols>
    <col min="1" max="1" width="10.81640625" style="35"/>
    <col min="2" max="2" width="17.36328125" style="35" customWidth="1"/>
    <col min="3" max="3" width="13" style="36" bestFit="1" customWidth="1"/>
    <col min="4" max="4" width="11.453125" style="35" bestFit="1" customWidth="1"/>
    <col min="5" max="5" width="10.81640625" style="35"/>
    <col min="6" max="6" width="10.81640625" style="37"/>
    <col min="7" max="7" width="10.81640625" style="35"/>
    <col min="8" max="8" width="11.453125" style="35" bestFit="1" customWidth="1"/>
    <col min="9" max="9" width="63.453125" style="175" customWidth="1"/>
    <col min="10" max="16384" width="10.81640625" style="35"/>
  </cols>
  <sheetData>
    <row r="2" spans="1:18" ht="68" customHeight="1">
      <c r="A2" s="208" t="s">
        <v>89</v>
      </c>
      <c r="B2" s="208"/>
      <c r="C2" s="208"/>
      <c r="D2" s="208"/>
      <c r="E2" s="208"/>
      <c r="F2" s="208"/>
      <c r="G2" s="208"/>
      <c r="H2" s="208"/>
      <c r="I2" s="208"/>
    </row>
    <row r="5" spans="1:18" s="38" customFormat="1" ht="171" customHeight="1">
      <c r="A5" s="38" t="s">
        <v>45</v>
      </c>
      <c r="B5" s="38" t="s">
        <v>78</v>
      </c>
      <c r="C5" s="39" t="s">
        <v>77</v>
      </c>
      <c r="D5" s="38" t="s">
        <v>85</v>
      </c>
      <c r="E5" s="38" t="s">
        <v>80</v>
      </c>
      <c r="F5" s="40" t="s">
        <v>79</v>
      </c>
      <c r="G5" s="38" t="s">
        <v>76</v>
      </c>
      <c r="H5" s="38" t="s">
        <v>87</v>
      </c>
      <c r="I5" s="176" t="s">
        <v>86</v>
      </c>
      <c r="K5" s="183"/>
      <c r="L5" s="183"/>
      <c r="M5" s="183"/>
      <c r="N5" s="183"/>
      <c r="O5" s="183"/>
      <c r="P5" s="183"/>
      <c r="Q5" s="183"/>
      <c r="R5" s="183"/>
    </row>
    <row r="6" spans="1:18">
      <c r="A6" s="159">
        <v>43556</v>
      </c>
      <c r="B6" s="173">
        <v>25861</v>
      </c>
      <c r="C6" s="161">
        <f>SUM(B6:B9)</f>
        <v>462198</v>
      </c>
      <c r="D6" s="161">
        <v>50147.754274778999</v>
      </c>
      <c r="E6" s="162">
        <v>500000</v>
      </c>
      <c r="F6" s="163">
        <f>D6/E6</f>
        <v>0.100295508549558</v>
      </c>
      <c r="G6" s="164">
        <v>290000</v>
      </c>
      <c r="H6" s="173">
        <f>F6*G6</f>
        <v>29085.697479371822</v>
      </c>
      <c r="I6" s="209" t="s">
        <v>81</v>
      </c>
    </row>
    <row r="7" spans="1:18">
      <c r="A7" s="159">
        <v>43525</v>
      </c>
      <c r="B7" s="173">
        <v>184638</v>
      </c>
      <c r="C7" s="161"/>
      <c r="D7" s="160"/>
      <c r="E7" s="160"/>
      <c r="F7" s="163"/>
      <c r="G7" s="160"/>
      <c r="H7" s="160"/>
      <c r="I7" s="209"/>
    </row>
    <row r="8" spans="1:18">
      <c r="A8" s="159">
        <v>43497</v>
      </c>
      <c r="B8" s="173">
        <v>132953</v>
      </c>
      <c r="C8" s="161"/>
      <c r="D8" s="160"/>
      <c r="E8" s="160"/>
      <c r="F8" s="163"/>
      <c r="G8" s="160"/>
      <c r="H8" s="160"/>
      <c r="I8" s="209"/>
    </row>
    <row r="9" spans="1:18">
      <c r="A9" s="159">
        <v>43466</v>
      </c>
      <c r="B9" s="173">
        <v>118746</v>
      </c>
      <c r="C9" s="161"/>
      <c r="D9" s="160"/>
      <c r="E9" s="160"/>
      <c r="F9" s="163"/>
      <c r="G9" s="160"/>
      <c r="H9" s="160"/>
    </row>
    <row r="10" spans="1:18">
      <c r="A10" s="165">
        <v>43435</v>
      </c>
      <c r="B10" s="174">
        <v>74667</v>
      </c>
      <c r="C10" s="167">
        <f>SUM(B10:B21)</f>
        <v>1785396</v>
      </c>
      <c r="D10" s="167">
        <v>195568</v>
      </c>
      <c r="E10" s="168">
        <v>500000</v>
      </c>
      <c r="F10" s="169">
        <f>D10/E10</f>
        <v>0.39113599999999998</v>
      </c>
      <c r="G10" s="170">
        <v>290000</v>
      </c>
      <c r="H10" s="174">
        <f>F10*G10</f>
        <v>113429.44</v>
      </c>
      <c r="I10" s="172" t="s">
        <v>82</v>
      </c>
    </row>
    <row r="11" spans="1:18">
      <c r="A11" s="165">
        <v>43405</v>
      </c>
      <c r="B11" s="174">
        <v>74129</v>
      </c>
      <c r="C11" s="167"/>
      <c r="D11" s="171"/>
      <c r="E11" s="166"/>
      <c r="F11" s="169"/>
      <c r="G11" s="166"/>
      <c r="H11" s="166"/>
    </row>
    <row r="12" spans="1:18">
      <c r="A12" s="165">
        <v>43374</v>
      </c>
      <c r="B12" s="174">
        <v>193785</v>
      </c>
      <c r="C12" s="167"/>
      <c r="D12" s="166"/>
      <c r="E12" s="166"/>
      <c r="F12" s="169"/>
      <c r="G12" s="166"/>
      <c r="H12" s="166"/>
    </row>
    <row r="13" spans="1:18">
      <c r="A13" s="165">
        <v>43344</v>
      </c>
      <c r="B13" s="174">
        <v>288421</v>
      </c>
      <c r="C13" s="167"/>
      <c r="D13" s="166"/>
      <c r="E13" s="166"/>
      <c r="F13" s="169"/>
      <c r="G13" s="166"/>
      <c r="H13" s="166"/>
    </row>
    <row r="14" spans="1:18">
      <c r="A14" s="165">
        <v>43313</v>
      </c>
      <c r="B14" s="174">
        <v>302435</v>
      </c>
      <c r="C14" s="167"/>
      <c r="D14" s="166"/>
      <c r="E14" s="166"/>
      <c r="F14" s="169"/>
      <c r="G14" s="166"/>
      <c r="H14" s="166"/>
    </row>
    <row r="15" spans="1:18">
      <c r="A15" s="165">
        <v>43282</v>
      </c>
      <c r="B15" s="174">
        <v>216543</v>
      </c>
      <c r="C15" s="167"/>
      <c r="D15" s="166"/>
      <c r="E15" s="166"/>
      <c r="F15" s="169"/>
      <c r="G15" s="166"/>
      <c r="H15" s="166"/>
    </row>
    <row r="16" spans="1:18">
      <c r="A16" s="165">
        <v>43252</v>
      </c>
      <c r="B16" s="174">
        <v>304423</v>
      </c>
      <c r="C16" s="167"/>
      <c r="D16" s="166"/>
      <c r="E16" s="166"/>
      <c r="F16" s="169"/>
      <c r="G16" s="166"/>
      <c r="H16" s="166"/>
    </row>
    <row r="17" spans="1:9">
      <c r="A17" s="165">
        <v>43221</v>
      </c>
      <c r="B17" s="174">
        <v>97134</v>
      </c>
      <c r="C17" s="167"/>
      <c r="D17" s="166"/>
      <c r="E17" s="166"/>
      <c r="F17" s="169"/>
      <c r="G17" s="166"/>
      <c r="H17" s="166"/>
    </row>
    <row r="18" spans="1:9">
      <c r="A18" s="165">
        <v>43191</v>
      </c>
      <c r="B18" s="174">
        <v>125838</v>
      </c>
      <c r="C18" s="167"/>
      <c r="D18" s="166"/>
      <c r="E18" s="166"/>
      <c r="F18" s="169"/>
      <c r="G18" s="166"/>
      <c r="H18" s="166"/>
    </row>
    <row r="19" spans="1:9">
      <c r="A19" s="165">
        <v>43160</v>
      </c>
      <c r="B19" s="174">
        <v>53860</v>
      </c>
      <c r="C19" s="167"/>
      <c r="D19" s="166"/>
      <c r="E19" s="166"/>
      <c r="F19" s="169"/>
      <c r="G19" s="166"/>
      <c r="H19" s="166"/>
    </row>
    <row r="20" spans="1:9">
      <c r="A20" s="165">
        <v>43132</v>
      </c>
      <c r="B20" s="174">
        <v>46912</v>
      </c>
      <c r="C20" s="167"/>
      <c r="D20" s="166"/>
      <c r="E20" s="166"/>
      <c r="F20" s="169"/>
      <c r="G20" s="166"/>
      <c r="H20" s="166"/>
    </row>
    <row r="21" spans="1:9">
      <c r="A21" s="165">
        <v>43101</v>
      </c>
      <c r="B21" s="174">
        <v>7249</v>
      </c>
      <c r="C21" s="167"/>
      <c r="D21" s="166"/>
      <c r="E21" s="166"/>
      <c r="F21" s="169"/>
      <c r="G21" s="166"/>
      <c r="H21" s="166"/>
    </row>
    <row r="22" spans="1:9">
      <c r="A22" s="159">
        <v>43070</v>
      </c>
      <c r="B22" s="173">
        <v>0</v>
      </c>
      <c r="C22" s="161">
        <f>SUM(B22:B33)</f>
        <v>387213</v>
      </c>
      <c r="D22" s="161">
        <v>42012</v>
      </c>
      <c r="E22" s="162">
        <v>500000</v>
      </c>
      <c r="F22" s="163">
        <f>D22/E22</f>
        <v>8.4024000000000001E-2</v>
      </c>
      <c r="G22" s="164">
        <v>290000</v>
      </c>
      <c r="H22" s="173">
        <f>F22*G22</f>
        <v>24366.959999999999</v>
      </c>
      <c r="I22" s="172" t="s">
        <v>83</v>
      </c>
    </row>
    <row r="23" spans="1:9">
      <c r="A23" s="159">
        <v>43040</v>
      </c>
      <c r="B23" s="173">
        <v>4496</v>
      </c>
      <c r="C23" s="161"/>
      <c r="D23" s="160"/>
      <c r="E23" s="160"/>
      <c r="F23" s="163"/>
      <c r="G23" s="160"/>
      <c r="H23" s="160"/>
    </row>
    <row r="24" spans="1:9">
      <c r="A24" s="159">
        <v>43009</v>
      </c>
      <c r="B24" s="173">
        <v>85340</v>
      </c>
      <c r="C24" s="161"/>
      <c r="D24" s="160"/>
      <c r="E24" s="160"/>
      <c r="F24" s="163"/>
      <c r="G24" s="160"/>
      <c r="H24" s="160"/>
    </row>
    <row r="25" spans="1:9">
      <c r="A25" s="159">
        <v>42979</v>
      </c>
      <c r="B25" s="173">
        <v>125905</v>
      </c>
      <c r="C25" s="161"/>
      <c r="D25" s="160"/>
      <c r="E25" s="160"/>
      <c r="F25" s="163"/>
      <c r="G25" s="160"/>
      <c r="H25" s="160"/>
    </row>
    <row r="26" spans="1:9">
      <c r="A26" s="159">
        <v>42948</v>
      </c>
      <c r="B26" s="173">
        <v>84686</v>
      </c>
      <c r="C26" s="161"/>
      <c r="D26" s="160"/>
      <c r="E26" s="160"/>
      <c r="F26" s="163"/>
      <c r="G26" s="160"/>
      <c r="H26" s="160"/>
    </row>
    <row r="27" spans="1:9">
      <c r="A27" s="159">
        <v>42917</v>
      </c>
      <c r="B27" s="173">
        <v>86786</v>
      </c>
      <c r="C27" s="161"/>
      <c r="D27" s="160"/>
      <c r="E27" s="160"/>
      <c r="F27" s="163"/>
      <c r="G27" s="160"/>
      <c r="H27" s="160"/>
    </row>
    <row r="28" spans="1:9">
      <c r="A28" s="159">
        <v>42887</v>
      </c>
      <c r="B28" s="173">
        <v>0</v>
      </c>
      <c r="C28" s="161"/>
      <c r="D28" s="160"/>
      <c r="E28" s="160"/>
      <c r="F28" s="163"/>
      <c r="G28" s="160"/>
      <c r="H28" s="160"/>
    </row>
    <row r="29" spans="1:9">
      <c r="A29" s="159">
        <v>42856</v>
      </c>
      <c r="B29" s="173">
        <v>0</v>
      </c>
      <c r="C29" s="161"/>
      <c r="D29" s="160"/>
      <c r="E29" s="160"/>
      <c r="F29" s="163"/>
      <c r="G29" s="160"/>
      <c r="H29" s="160"/>
    </row>
    <row r="30" spans="1:9">
      <c r="A30" s="159">
        <v>42826</v>
      </c>
      <c r="B30" s="173">
        <v>0</v>
      </c>
      <c r="C30" s="161"/>
      <c r="D30" s="160"/>
      <c r="E30" s="160"/>
      <c r="F30" s="163"/>
      <c r="G30" s="160"/>
      <c r="H30" s="160"/>
    </row>
    <row r="31" spans="1:9">
      <c r="A31" s="159">
        <v>42795</v>
      </c>
      <c r="B31" s="173">
        <v>0</v>
      </c>
      <c r="C31" s="161"/>
      <c r="D31" s="160"/>
      <c r="E31" s="160"/>
      <c r="F31" s="163"/>
      <c r="G31" s="160"/>
      <c r="H31" s="160"/>
    </row>
    <row r="32" spans="1:9">
      <c r="A32" s="159">
        <v>42767</v>
      </c>
      <c r="B32" s="173">
        <v>0</v>
      </c>
      <c r="C32" s="161"/>
      <c r="D32" s="160"/>
      <c r="E32" s="160"/>
      <c r="F32" s="163"/>
      <c r="G32" s="160"/>
      <c r="H32" s="160"/>
    </row>
    <row r="33" spans="1:9">
      <c r="A33" s="159">
        <v>42736</v>
      </c>
      <c r="B33" s="173">
        <v>0</v>
      </c>
      <c r="C33" s="161"/>
      <c r="D33" s="160"/>
      <c r="E33" s="160"/>
      <c r="F33" s="163"/>
      <c r="G33" s="160"/>
      <c r="H33" s="160"/>
    </row>
    <row r="34" spans="1:9">
      <c r="A34" s="165">
        <v>42705</v>
      </c>
      <c r="B34" s="174">
        <v>0</v>
      </c>
      <c r="C34" s="167">
        <f>SUM(B34:B45)</f>
        <v>1175585</v>
      </c>
      <c r="D34" s="167">
        <v>127308</v>
      </c>
      <c r="E34" s="168">
        <v>500000</v>
      </c>
      <c r="F34" s="169">
        <f>D34/E34</f>
        <v>0.25461600000000001</v>
      </c>
      <c r="G34" s="170">
        <v>290000</v>
      </c>
      <c r="H34" s="174">
        <f>F34*G34</f>
        <v>73838.64</v>
      </c>
      <c r="I34" s="177" t="s">
        <v>46</v>
      </c>
    </row>
    <row r="35" spans="1:9">
      <c r="A35" s="165">
        <v>42675</v>
      </c>
      <c r="B35" s="174">
        <v>0</v>
      </c>
      <c r="C35" s="167"/>
      <c r="D35" s="178"/>
      <c r="E35" s="166"/>
      <c r="F35" s="169"/>
      <c r="G35" s="166"/>
      <c r="H35" s="166"/>
    </row>
    <row r="36" spans="1:9">
      <c r="A36" s="165">
        <v>42644</v>
      </c>
      <c r="B36" s="174">
        <v>49945</v>
      </c>
      <c r="C36" s="167"/>
      <c r="D36" s="166"/>
      <c r="E36" s="166"/>
      <c r="F36" s="169"/>
      <c r="G36" s="166"/>
      <c r="H36" s="166"/>
    </row>
    <row r="37" spans="1:9">
      <c r="A37" s="165">
        <v>42614</v>
      </c>
      <c r="B37" s="174">
        <v>281705</v>
      </c>
      <c r="C37" s="167"/>
      <c r="D37" s="166"/>
      <c r="E37" s="166"/>
      <c r="F37" s="169"/>
      <c r="G37" s="166"/>
      <c r="H37" s="166"/>
    </row>
    <row r="38" spans="1:9">
      <c r="A38" s="165">
        <v>42583</v>
      </c>
      <c r="B38" s="174">
        <v>260961</v>
      </c>
      <c r="C38" s="167"/>
      <c r="D38" s="166"/>
      <c r="E38" s="166"/>
      <c r="F38" s="169"/>
      <c r="G38" s="166"/>
      <c r="H38" s="166"/>
    </row>
    <row r="39" spans="1:9">
      <c r="A39" s="165">
        <v>42552</v>
      </c>
      <c r="B39" s="174">
        <v>235970</v>
      </c>
      <c r="C39" s="167"/>
      <c r="D39" s="166"/>
      <c r="E39" s="166"/>
      <c r="F39" s="169"/>
      <c r="G39" s="166"/>
      <c r="H39" s="166"/>
    </row>
    <row r="40" spans="1:9">
      <c r="A40" s="165">
        <v>42522</v>
      </c>
      <c r="B40" s="174">
        <v>57386</v>
      </c>
      <c r="C40" s="167"/>
      <c r="D40" s="166"/>
      <c r="E40" s="166"/>
      <c r="F40" s="169"/>
      <c r="G40" s="166"/>
      <c r="H40" s="166"/>
    </row>
    <row r="41" spans="1:9">
      <c r="A41" s="165">
        <v>42491</v>
      </c>
      <c r="B41" s="174">
        <v>106030</v>
      </c>
      <c r="C41" s="167"/>
      <c r="D41" s="166"/>
      <c r="E41" s="166"/>
      <c r="F41" s="169"/>
      <c r="G41" s="166"/>
      <c r="H41" s="166"/>
    </row>
    <row r="42" spans="1:9">
      <c r="A42" s="165">
        <v>42461</v>
      </c>
      <c r="B42" s="174">
        <v>19923</v>
      </c>
      <c r="C42" s="167"/>
      <c r="D42" s="166"/>
      <c r="E42" s="166"/>
      <c r="F42" s="169"/>
      <c r="G42" s="166"/>
      <c r="H42" s="166"/>
    </row>
    <row r="43" spans="1:9">
      <c r="A43" s="165">
        <v>42430</v>
      </c>
      <c r="B43" s="174">
        <v>65538</v>
      </c>
      <c r="C43" s="167"/>
      <c r="D43" s="166"/>
      <c r="E43" s="166"/>
      <c r="F43" s="169"/>
      <c r="G43" s="166"/>
      <c r="H43" s="166"/>
    </row>
    <row r="44" spans="1:9">
      <c r="A44" s="165">
        <v>42401</v>
      </c>
      <c r="B44" s="174">
        <v>84205</v>
      </c>
      <c r="C44" s="167"/>
      <c r="D44" s="166"/>
      <c r="E44" s="166"/>
      <c r="F44" s="169"/>
      <c r="G44" s="166"/>
      <c r="H44" s="166"/>
    </row>
    <row r="45" spans="1:9">
      <c r="A45" s="165">
        <v>42370</v>
      </c>
      <c r="B45" s="174">
        <v>13922</v>
      </c>
      <c r="C45" s="167"/>
      <c r="D45" s="166"/>
      <c r="E45" s="166"/>
      <c r="F45" s="169"/>
      <c r="G45" s="166"/>
      <c r="H45" s="166"/>
    </row>
    <row r="46" spans="1:9">
      <c r="A46" s="159">
        <v>42339</v>
      </c>
      <c r="B46" s="173">
        <v>0</v>
      </c>
      <c r="C46" s="161">
        <f>SUM(B46:B48)</f>
        <v>32933</v>
      </c>
      <c r="D46" s="161">
        <v>3566.4238349417528</v>
      </c>
      <c r="E46" s="162">
        <v>500000</v>
      </c>
      <c r="F46" s="163">
        <f>D46/E46</f>
        <v>7.1328476698835058E-3</v>
      </c>
      <c r="G46" s="164">
        <v>290000</v>
      </c>
      <c r="H46" s="173">
        <f>F46*G46</f>
        <v>2068.5258242662167</v>
      </c>
      <c r="I46" s="177" t="s">
        <v>47</v>
      </c>
    </row>
    <row r="47" spans="1:9">
      <c r="A47" s="159">
        <v>42309</v>
      </c>
      <c r="B47" s="173">
        <v>17063</v>
      </c>
      <c r="C47" s="161"/>
      <c r="D47" s="160"/>
      <c r="E47" s="160"/>
      <c r="F47" s="163"/>
      <c r="G47" s="160"/>
      <c r="H47" s="160"/>
    </row>
    <row r="48" spans="1:9">
      <c r="A48" s="159">
        <v>42278</v>
      </c>
      <c r="B48" s="173">
        <v>15870</v>
      </c>
      <c r="C48" s="161"/>
      <c r="D48" s="160"/>
      <c r="E48" s="160"/>
      <c r="F48" s="163"/>
      <c r="G48" s="160"/>
      <c r="H48" s="160"/>
    </row>
    <row r="51" spans="1:12" ht="18.5">
      <c r="D51" s="179"/>
      <c r="E51" s="179"/>
      <c r="F51" s="180"/>
      <c r="G51" s="179"/>
      <c r="H51" s="181" t="s">
        <v>84</v>
      </c>
    </row>
    <row r="52" spans="1:12" ht="18.5">
      <c r="D52" s="179"/>
      <c r="E52" s="179"/>
      <c r="F52" s="180"/>
      <c r="G52" s="179"/>
      <c r="H52" s="182">
        <f>SUM(H46,H34,H22,H10,H6)</f>
        <v>242789.26330363803</v>
      </c>
    </row>
    <row r="55" spans="1:12" ht="16" customHeight="1">
      <c r="A55" s="207" t="s">
        <v>88</v>
      </c>
      <c r="B55" s="207"/>
      <c r="C55" s="207"/>
      <c r="D55" s="207"/>
      <c r="E55" s="207"/>
      <c r="F55" s="207"/>
      <c r="G55" s="207"/>
      <c r="H55" s="207"/>
      <c r="I55" s="207"/>
      <c r="J55" s="207"/>
      <c r="K55" s="207"/>
      <c r="L55" s="207"/>
    </row>
    <row r="56" spans="1:12">
      <c r="A56" s="207"/>
      <c r="B56" s="207"/>
      <c r="C56" s="207"/>
      <c r="D56" s="207"/>
      <c r="E56" s="207"/>
      <c r="F56" s="207"/>
      <c r="G56" s="207"/>
      <c r="H56" s="207"/>
      <c r="I56" s="207"/>
      <c r="J56" s="207"/>
      <c r="K56" s="207"/>
      <c r="L56" s="207"/>
    </row>
    <row r="57" spans="1:12">
      <c r="A57" s="207"/>
      <c r="B57" s="207"/>
      <c r="C57" s="207"/>
      <c r="D57" s="207"/>
      <c r="E57" s="207"/>
      <c r="F57" s="207"/>
      <c r="G57" s="207"/>
      <c r="H57" s="207"/>
      <c r="I57" s="207"/>
      <c r="J57" s="207"/>
      <c r="K57" s="207"/>
      <c r="L57" s="207"/>
    </row>
    <row r="58" spans="1:12">
      <c r="A58" s="207"/>
      <c r="B58" s="207"/>
      <c r="C58" s="207"/>
      <c r="D58" s="207"/>
      <c r="E58" s="207"/>
      <c r="F58" s="207"/>
      <c r="G58" s="207"/>
      <c r="H58" s="207"/>
      <c r="I58" s="207"/>
      <c r="J58" s="207"/>
      <c r="K58" s="207"/>
      <c r="L58" s="207"/>
    </row>
    <row r="59" spans="1:12">
      <c r="A59" s="207"/>
      <c r="B59" s="207"/>
      <c r="C59" s="207"/>
      <c r="D59" s="207"/>
      <c r="E59" s="207"/>
      <c r="F59" s="207"/>
      <c r="G59" s="207"/>
      <c r="H59" s="207"/>
      <c r="I59" s="207"/>
      <c r="J59" s="207"/>
      <c r="K59" s="207"/>
      <c r="L59" s="207"/>
    </row>
    <row r="60" spans="1:12">
      <c r="A60" s="207"/>
      <c r="B60" s="207"/>
      <c r="C60" s="207"/>
      <c r="D60" s="207"/>
      <c r="E60" s="207"/>
      <c r="F60" s="207"/>
      <c r="G60" s="207"/>
      <c r="H60" s="207"/>
      <c r="I60" s="207"/>
      <c r="J60" s="207"/>
      <c r="K60" s="207"/>
      <c r="L60" s="207"/>
    </row>
    <row r="61" spans="1:12">
      <c r="A61" s="207"/>
      <c r="B61" s="207"/>
      <c r="C61" s="207"/>
      <c r="D61" s="207"/>
      <c r="E61" s="207"/>
      <c r="F61" s="207"/>
      <c r="G61" s="207"/>
      <c r="H61" s="207"/>
      <c r="I61" s="207"/>
      <c r="J61" s="207"/>
      <c r="K61" s="207"/>
      <c r="L61" s="207"/>
    </row>
    <row r="62" spans="1:12">
      <c r="A62" s="207"/>
      <c r="B62" s="207"/>
      <c r="C62" s="207"/>
      <c r="D62" s="207"/>
      <c r="E62" s="207"/>
      <c r="F62" s="207"/>
      <c r="G62" s="207"/>
      <c r="H62" s="207"/>
      <c r="I62" s="207"/>
      <c r="J62" s="207"/>
      <c r="K62" s="207"/>
      <c r="L62" s="207"/>
    </row>
    <row r="63" spans="1:12">
      <c r="A63" s="207"/>
      <c r="B63" s="207"/>
      <c r="C63" s="207"/>
      <c r="D63" s="207"/>
      <c r="E63" s="207"/>
      <c r="F63" s="207"/>
      <c r="G63" s="207"/>
      <c r="H63" s="207"/>
      <c r="I63" s="207"/>
      <c r="J63" s="207"/>
      <c r="K63" s="207"/>
      <c r="L63" s="207"/>
    </row>
    <row r="64" spans="1:12">
      <c r="A64" s="207"/>
      <c r="B64" s="207"/>
      <c r="C64" s="207"/>
      <c r="D64" s="207"/>
      <c r="E64" s="207"/>
      <c r="F64" s="207"/>
      <c r="G64" s="207"/>
      <c r="H64" s="207"/>
      <c r="I64" s="207"/>
      <c r="J64" s="207"/>
      <c r="K64" s="207"/>
      <c r="L64" s="207"/>
    </row>
    <row r="65" spans="1:12">
      <c r="A65" s="207"/>
      <c r="B65" s="207"/>
      <c r="C65" s="207"/>
      <c r="D65" s="207"/>
      <c r="E65" s="207"/>
      <c r="F65" s="207"/>
      <c r="G65" s="207"/>
      <c r="H65" s="207"/>
      <c r="I65" s="207"/>
      <c r="J65" s="207"/>
      <c r="K65" s="207"/>
      <c r="L65" s="207"/>
    </row>
    <row r="66" spans="1:12">
      <c r="A66" s="207"/>
      <c r="B66" s="207"/>
      <c r="C66" s="207"/>
      <c r="D66" s="207"/>
      <c r="E66" s="207"/>
      <c r="F66" s="207"/>
      <c r="G66" s="207"/>
      <c r="H66" s="207"/>
      <c r="I66" s="207"/>
      <c r="J66" s="207"/>
      <c r="K66" s="207"/>
      <c r="L66" s="207"/>
    </row>
    <row r="67" spans="1:12">
      <c r="A67" s="207"/>
      <c r="B67" s="207"/>
      <c r="C67" s="207"/>
      <c r="D67" s="207"/>
      <c r="E67" s="207"/>
      <c r="F67" s="207"/>
      <c r="G67" s="207"/>
      <c r="H67" s="207"/>
      <c r="I67" s="207"/>
      <c r="J67" s="207"/>
      <c r="K67" s="207"/>
      <c r="L67" s="207"/>
    </row>
    <row r="68" spans="1:12">
      <c r="A68" s="207"/>
      <c r="B68" s="207"/>
      <c r="C68" s="207"/>
      <c r="D68" s="207"/>
      <c r="E68" s="207"/>
      <c r="F68" s="207"/>
      <c r="G68" s="207"/>
      <c r="H68" s="207"/>
      <c r="I68" s="207"/>
      <c r="J68" s="207"/>
      <c r="K68" s="207"/>
      <c r="L68" s="207"/>
    </row>
    <row r="69" spans="1:12">
      <c r="A69" s="207"/>
      <c r="B69" s="207"/>
      <c r="C69" s="207"/>
      <c r="D69" s="207"/>
      <c r="E69" s="207"/>
      <c r="F69" s="207"/>
      <c r="G69" s="207"/>
      <c r="H69" s="207"/>
      <c r="I69" s="207"/>
      <c r="J69" s="207"/>
      <c r="K69" s="207"/>
      <c r="L69" s="207"/>
    </row>
    <row r="70" spans="1:12">
      <c r="A70" s="207"/>
      <c r="B70" s="207"/>
      <c r="C70" s="207"/>
      <c r="D70" s="207"/>
      <c r="E70" s="207"/>
      <c r="F70" s="207"/>
      <c r="G70" s="207"/>
      <c r="H70" s="207"/>
      <c r="I70" s="207"/>
      <c r="J70" s="207"/>
      <c r="K70" s="207"/>
      <c r="L70" s="207"/>
    </row>
    <row r="71" spans="1:12">
      <c r="A71" s="207"/>
      <c r="B71" s="207"/>
      <c r="C71" s="207"/>
      <c r="D71" s="207"/>
      <c r="E71" s="207"/>
      <c r="F71" s="207"/>
      <c r="G71" s="207"/>
      <c r="H71" s="207"/>
      <c r="I71" s="207"/>
      <c r="J71" s="207"/>
      <c r="K71" s="207"/>
      <c r="L71" s="207"/>
    </row>
    <row r="72" spans="1:12">
      <c r="A72" s="207"/>
      <c r="B72" s="207"/>
      <c r="C72" s="207"/>
      <c r="D72" s="207"/>
      <c r="E72" s="207"/>
      <c r="F72" s="207"/>
      <c r="G72" s="207"/>
      <c r="H72" s="207"/>
      <c r="I72" s="207"/>
      <c r="J72" s="207"/>
      <c r="K72" s="207"/>
      <c r="L72" s="207"/>
    </row>
    <row r="73" spans="1:12">
      <c r="A73" s="207"/>
      <c r="B73" s="207"/>
      <c r="C73" s="207"/>
      <c r="D73" s="207"/>
      <c r="E73" s="207"/>
      <c r="F73" s="207"/>
      <c r="G73" s="207"/>
      <c r="H73" s="207"/>
      <c r="I73" s="207"/>
      <c r="J73" s="207"/>
      <c r="K73" s="207"/>
      <c r="L73" s="207"/>
    </row>
    <row r="74" spans="1:12">
      <c r="A74" s="207"/>
      <c r="B74" s="207"/>
      <c r="C74" s="207"/>
      <c r="D74" s="207"/>
      <c r="E74" s="207"/>
      <c r="F74" s="207"/>
      <c r="G74" s="207"/>
      <c r="H74" s="207"/>
      <c r="I74" s="207"/>
      <c r="J74" s="207"/>
      <c r="K74" s="207"/>
      <c r="L74" s="207"/>
    </row>
    <row r="75" spans="1:12">
      <c r="A75" s="207"/>
      <c r="B75" s="207"/>
      <c r="C75" s="207"/>
      <c r="D75" s="207"/>
      <c r="E75" s="207"/>
      <c r="F75" s="207"/>
      <c r="G75" s="207"/>
      <c r="H75" s="207"/>
      <c r="I75" s="207"/>
      <c r="J75" s="207"/>
      <c r="K75" s="207"/>
      <c r="L75" s="207"/>
    </row>
    <row r="76" spans="1:12">
      <c r="A76" s="207"/>
      <c r="B76" s="207"/>
      <c r="C76" s="207"/>
      <c r="D76" s="207"/>
      <c r="E76" s="207"/>
      <c r="F76" s="207"/>
      <c r="G76" s="207"/>
      <c r="H76" s="207"/>
      <c r="I76" s="207"/>
      <c r="J76" s="207"/>
      <c r="K76" s="207"/>
      <c r="L76" s="207"/>
    </row>
  </sheetData>
  <mergeCells count="3">
    <mergeCell ref="A55:L76"/>
    <mergeCell ref="A2:I2"/>
    <mergeCell ref="I6: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 of workbook</vt:lpstr>
      <vt:lpstr>7.1 Solar projects avoided CO2e</vt:lpstr>
      <vt:lpstr>7.2 SCC discount rates</vt:lpstr>
      <vt:lpstr>7.3 Solar projects SCC calcs</vt:lpstr>
      <vt:lpstr>7.4 Crescent Dunes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Daue</dc:creator>
  <cp:lastModifiedBy>Alex Daue</cp:lastModifiedBy>
  <dcterms:created xsi:type="dcterms:W3CDTF">2019-03-20T20:57:03Z</dcterms:created>
  <dcterms:modified xsi:type="dcterms:W3CDTF">2020-03-12T04:40:24Z</dcterms:modified>
</cp:coreProperties>
</file>